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omments4.xml" ContentType="application/vnd.openxmlformats-officedocument.spreadsheetml.comments+xml"/>
  <Override PartName="/xl/comments5.xml" ContentType="application/vnd.openxmlformats-officedocument.spreadsheetml.comments+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cs-file-prd-01\prod_folders$\pi_dxk\Downloads\"/>
    </mc:Choice>
  </mc:AlternateContent>
  <xr:revisionPtr revIDLastSave="0" documentId="13_ncr:1_{2F6B6F7C-F5FC-4401-B427-C4A65D6B3271}" xr6:coauthVersionLast="47" xr6:coauthVersionMax="47" xr10:uidLastSave="{00000000-0000-0000-0000-000000000000}"/>
  <bookViews>
    <workbookView xWindow="-120" yWindow="-120" windowWidth="24240" windowHeight="13140" tabRatio="865" xr2:uid="{00000000-000D-0000-FFFF-FFFF00000000}"/>
  </bookViews>
  <sheets>
    <sheet name="1. Description" sheetId="2" r:id="rId1"/>
    <sheet name="2. Dev. Team" sheetId="3" r:id="rId2"/>
    <sheet name="3. Sources Uses" sheetId="4" r:id="rId3"/>
    <sheet name="4. Operating" sheetId="5" r:id="rId4"/>
    <sheet name="5. Tax Credits" sheetId="6" r:id="rId5"/>
    <sheet name="6. Exhibits" sheetId="7" r:id="rId6"/>
    <sheet name="7. Signature" sheetId="8" r:id="rId7"/>
    <sheet name="Output" sheetId="9" r:id="rId8"/>
    <sheet name="Check" sheetId="10" r:id="rId9"/>
    <sheet name="Exhibit 11" sheetId="11" r:id="rId10"/>
    <sheet name="Exhibit31A" sheetId="25" r:id="rId11"/>
    <sheet name="Exhibit31B" sheetId="24" r:id="rId12"/>
    <sheet name="Lists" sheetId="14" r:id="rId13"/>
    <sheet name="Income Limits" sheetId="17" r:id="rId14"/>
    <sheet name="Fair Market Rents" sheetId="16" r:id="rId15"/>
    <sheet name="QCTs" sheetId="18" r:id="rId16"/>
    <sheet name="Other Information" sheetId="15" r:id="rId17"/>
    <sheet name="ScratchPad" sheetId="22" r:id="rId18"/>
    <sheet name="FAQs" sheetId="21" r:id="rId19"/>
    <sheet name="What's New" sheetId="20" r:id="rId20"/>
    <sheet name="List of Exhibits" sheetId="23" r:id="rId21"/>
  </sheets>
  <definedNames>
    <definedName name="\P">#REF!</definedName>
    <definedName name="\S">#REF!</definedName>
    <definedName name="_1_1">'1. Description'!$A$1</definedName>
    <definedName name="_2_2">'2. Dev. Team'!$A$1</definedName>
    <definedName name="_3_3">'3. Sources Uses'!$A$1</definedName>
    <definedName name="_4_4">'4. Operating'!$A$1</definedName>
    <definedName name="_5_5">'5. Tax Credits'!$A$1</definedName>
    <definedName name="_6_6">'6. Exhibits'!$A$1</definedName>
    <definedName name="_7_7">'7. Signature'!$A$1</definedName>
    <definedName name="_8INT.RATE.">'3. Sources Uses'!$F$15:$F$15</definedName>
    <definedName name="_faq1">FAQs!$B$9</definedName>
    <definedName name="_faq2">FAQs!$B$32</definedName>
    <definedName name="_faq3">FAQs!$B$37</definedName>
    <definedName name="_faq4">FAQs!#REF!</definedName>
    <definedName name="aaa">'1. Description'!$G$51</definedName>
    <definedName name="acquisition_credit">'5. Tax Credits'!$H$16</definedName>
    <definedName name="acquisition_minimal">'1. Description'!$C$29</definedName>
    <definedName name="acquisition_moderate">'1. Description'!$C$28</definedName>
    <definedName name="acquisition_substantial">'1. Description'!$C$27</definedName>
    <definedName name="acquistion_minimal">'1. Description'!$C$29</definedName>
    <definedName name="adaptive_reuse">'1. Description'!$C$30</definedName>
    <definedName name="air_central">'1. Description'!$E$167</definedName>
    <definedName name="air_rent">'1. Description'!$E$174</definedName>
    <definedName name="air_window">'1. Description'!$E$166</definedName>
    <definedName name="airports">'1. Description'!$H$351</definedName>
    <definedName name="amort1">'3. Sources Uses'!$N$1:$X$59</definedName>
    <definedName name="amort2">'3. Sources Uses'!$Z$1:$AJ$59</definedName>
    <definedName name="amort3">'3. Sources Uses'!$AL$1:$AV$59</definedName>
    <definedName name="amort4">'3. Sources Uses'!$AY$1:$BI$59</definedName>
    <definedName name="amort5">'3. Sources Uses'!$BL$1:$BV$59</definedName>
    <definedName name="areaname">'4. Operating'!$AC$219:$AC$237</definedName>
    <definedName name="asbestos_abatement">'1. Description'!$H$323</definedName>
    <definedName name="asbestos_abatement_note">'1. Description'!$C$324</definedName>
    <definedName name="AVGFAMILYSIZE">'Other Information'!$S$309:$S$309</definedName>
    <definedName name="BARNSTABLE">'Income Limits'!$A$3:$C$3</definedName>
    <definedName name="bedroom_type1">'1. Description'!$C$66</definedName>
    <definedName name="bedroom_type2">'1. Description'!$C$67</definedName>
    <definedName name="bedroom_type3">'1. Description'!$C$68</definedName>
    <definedName name="bedroom_type4">'1. Description'!$C$69</definedName>
    <definedName name="bedroom_type5">'1. Description'!$C$70</definedName>
    <definedName name="bedroom_type6">'1. Description'!$C$71</definedName>
    <definedName name="BERKSHIRE">'Income Limits'!$A$5:$C$6</definedName>
    <definedName name="BRISTOL">'Income Limits'!$A$8:$C$11</definedName>
    <definedName name="carpet">'1. Description'!$E$165</definedName>
    <definedName name="census_answer">'1. Description'!$H$21:$I$21</definedName>
    <definedName name="census_question">'1. Description'!$G$21</definedName>
    <definedName name="Census_Tract" localSheetId="16">'Other Information'!$G$1:$T$62</definedName>
    <definedName name="chapter_774">'1. Description'!$H$259</definedName>
    <definedName name="chapter21e">'1. Description'!$H$307</definedName>
    <definedName name="chapter21e_note">'1. Description'!$C$308</definedName>
    <definedName name="CHECK">Check!$A$1:$J$153</definedName>
    <definedName name="chemicals">'1. Description'!$H$340</definedName>
    <definedName name="COLOR1">'1. Description'!#REF!</definedName>
    <definedName name="COLOR11">'Exhibit 11'!#REF!</definedName>
    <definedName name="COLOR2">'2. Dev. Team'!#REF!</definedName>
    <definedName name="COLOR3">'3. Sources Uses'!#REF!</definedName>
    <definedName name="COLOR4">'4. Operating'!#REF!</definedName>
    <definedName name="COLOR5">'5. Tax Credits'!#REF!</definedName>
    <definedName name="COLOR6">'6. Exhibits'!#REF!</definedName>
    <definedName name="COLOR7">'7. Signature'!#REF!</definedName>
    <definedName name="COLORCHECK">Check!#REF!</definedName>
    <definedName name="COLOROUT">Output!#REF!</definedName>
    <definedName name="commercial">'1. Description'!$F$145</definedName>
    <definedName name="COMPLETE">'1. Description:Check'!$A$1:$J$2009</definedName>
    <definedName name="construction_financing">'1. Description'!$H$107</definedName>
    <definedName name="CONTENTS">#REF!</definedName>
    <definedName name="cooking_fuel">'1. Description'!$E$172</definedName>
    <definedName name="COST">Output!$A$438:$J$498</definedName>
    <definedName name="county">'1. Description'!$D$15</definedName>
    <definedName name="countylist">'Other Information'!$A$2:$A$16</definedName>
    <definedName name="countyname">'4. Operating'!$D$212</definedName>
    <definedName name="credit_percentage">'5. Tax Credits'!$H$32</definedName>
    <definedName name="Date">'1. Description'!$F$48</definedName>
    <definedName name="Date_revised">'1. Description'!$I$9</definedName>
    <definedName name="Debt_financing">'1. Description'!$H$114</definedName>
    <definedName name="developer_sponsor_type">'2. Dev. Team'!$F$6</definedName>
    <definedName name="DHCD">'1. Description'!$H$99</definedName>
    <definedName name="DHCDcategory1">'1. Description'!$G$100</definedName>
    <definedName name="DHCDcategory2">'1. Description'!$G$101</definedName>
    <definedName name="DHCDHome">'1. Description'!$H$103</definedName>
    <definedName name="difficult_to_develop">'1. Description'!$E$21</definedName>
    <definedName name="dishwasher">'1. Description'!$E$161</definedName>
    <definedName name="disposal">'1. Description'!$E$162</definedName>
    <definedName name="distance_to_electricity">'1. Description'!$E$237</definedName>
    <definedName name="distance_to_gas">'1. Description'!$E$238</definedName>
    <definedName name="distance_to_public_water">'1. Description'!$E$236</definedName>
    <definedName name="distance_to_san_sewer">'1. Description'!$E$234</definedName>
    <definedName name="distance_to_storm_sewer">'1. Description'!$E$235</definedName>
    <definedName name="DND">'1. Description'!$H$117</definedName>
    <definedName name="DUKES">'Income Limits'!$A$13:$C$13</definedName>
    <definedName name="electricity">'1. Description'!$D$237</definedName>
    <definedName name="electricity_distance">'1. Description'!$G$237</definedName>
    <definedName name="electricity_domestic">'1. Description'!$E$171</definedName>
    <definedName name="elevators">'1. Description'!$F$155</definedName>
    <definedName name="endangered_species">'1. Description'!$H$348</definedName>
    <definedName name="enf">'1. Description'!$H$315</definedName>
    <definedName name="enf_note">'1. Description'!$C$316</definedName>
    <definedName name="entity_formed64">'2. Dev. Team'!$F$26</definedName>
    <definedName name="entity_formed65">'2. Dev. Team'!$F$36</definedName>
    <definedName name="entity_formed66">'2. Dev. Team'!$F$47</definedName>
    <definedName name="environmental">'1. Description'!$H$303</definedName>
    <definedName name="ESSEX">'Income Limits'!$A$15:$C$16</definedName>
    <definedName name="EXH_11">'Exhibit 11'!$A$1:$G$268</definedName>
    <definedName name="ExternalData1">'4. Operating'!$AK$15:$AQ$34</definedName>
    <definedName name="ExternalData1_TABLE">'4. Operating'!$AK$15:$AQ$34</definedName>
    <definedName name="ExternalData4">'4. Operating'!$AJ$17:$AP$36</definedName>
    <definedName name="ExternalData4_TABLE">'4. Operating'!$AJ$17:$AP$36</definedName>
    <definedName name="ExternalData5">'4. Operating'!#REF!</definedName>
    <definedName name="ExternalData5_TABLE">'4. Operating'!#REF!</definedName>
    <definedName name="ExternalData6" localSheetId="3">'4. Operating'!$AC$14:$AI$33</definedName>
    <definedName name="ExternalData6">'4. Operating'!$AC$14:$AI$33</definedName>
    <definedName name="ExternalData6_TABLE" localSheetId="3">'4. Operating'!$AC$14:$AI$33</definedName>
    <definedName name="ExternalData6_TABLE">'4. Operating'!$AC$14:$AI$33</definedName>
    <definedName name="faqs">FAQs!$E$1</definedName>
    <definedName name="fin_massdevelopment">'1. Description'!$G$123</definedName>
    <definedName name="financial_distress">'1. Description'!$H$278</definedName>
    <definedName name="financial_distress_note">'1. Description'!$C$279</definedName>
    <definedName name="firecode_type">'1. Description'!$D$149</definedName>
    <definedName name="first_cell">#REF!</definedName>
    <definedName name="flodplain_note2">'1. Description'!$C$345</definedName>
    <definedName name="floodplain">'1. Description'!$H$343</definedName>
    <definedName name="floodplain_note1">'1. Description'!$C$344</definedName>
    <definedName name="floodplain_note2">'1. Description'!$C$345</definedName>
    <definedName name="floodplain_note3">'1. Description'!$C$346</definedName>
    <definedName name="fmr_update">'4. Operating'!$I$232</definedName>
    <definedName name="fmrdata" localSheetId="14">'Fair Market Rents'!$A$1</definedName>
    <definedName name="fmrdata_5" localSheetId="14">'Fair Market Rents'!$A$1:$M$25</definedName>
    <definedName name="fmrincdata" localSheetId="3">'4. Operating'!$R$216:$AB$236</definedName>
    <definedName name="fmrincdata_TABLE" localSheetId="3">'4. Operating'!$AC$217:$AM$237</definedName>
    <definedName name="fmrincdata_TABLE_2" localSheetId="3">'4. Operating'!$R$216:$AB$236</definedName>
    <definedName name="FMRs">'4. Operating'!$D$227:$E$232</definedName>
    <definedName name="fmrstart">'Fair Market Rents'!$A$1</definedName>
    <definedName name="FRANKLIN">'Income Limits'!$A$18:$C$19</definedName>
    <definedName name="gas">'1. Description'!$D$238</definedName>
    <definedName name="gas_distance">'1. Description'!$G$238</definedName>
    <definedName name="gas_or_electric">'1. Description'!$H$158</definedName>
    <definedName name="Gas_or_electric?">'1. Description'!$H$158</definedName>
    <definedName name="HAMPDEN">'Income Limits'!$A$21:$C$21</definedName>
    <definedName name="HAMPSHIRE">'Income Limits'!$A$23:$C$23</definedName>
    <definedName name="heat">'1. Description'!$E$170</definedName>
    <definedName name="heating_number">'1. Description'!$H$210</definedName>
    <definedName name="heating_rvalue">'1. Description'!$F$210</definedName>
    <definedName name="heating_system">'1. Description'!$E$210</definedName>
    <definedName name="historic_credit">'5. Tax Credits'!$H$27</definedName>
    <definedName name="historic_district">'1. Description'!$H$335</definedName>
    <definedName name="historic_district_note1">'1. Description'!$C$337</definedName>
    <definedName name="historic_district_note2">'1. Description'!$C$338</definedName>
    <definedName name="hot_water">'1. Description'!$E$173</definedName>
    <definedName name="how_many_elevators">'1. Description'!$H$155</definedName>
    <definedName name="identity_interest_explain">'2. Dev. Team'!$C$163:$I$165</definedName>
    <definedName name="identity_of_interest">'1. Description'!$H$275</definedName>
    <definedName name="identity_of_interest2">'2. Dev. Team'!$D$161</definedName>
    <definedName name="incomelimits" localSheetId="13">'Income Limits'!$A$1:$C$41</definedName>
    <definedName name="incomelimits_update">'4. Operating'!$I$214</definedName>
    <definedName name="incomestart">'Income Limits'!$A$1</definedName>
    <definedName name="insulation">'1. Description'!$E$208</definedName>
    <definedName name="insulation_number">'1. Description'!$H$208</definedName>
    <definedName name="insulation_rvalue">'1. Description'!$F$208</definedName>
    <definedName name="K.PMT">'3. Sources Uses'!$K$15:$K$15</definedName>
    <definedName name="lead_paint">'1. Description'!$H$318</definedName>
    <definedName name="lead_paint_note1">'1. Description'!$C$319</definedName>
    <definedName name="lead_paint_note2">'1. Description'!$C$320</definedName>
    <definedName name="lead_paint_note3">'1. Description'!$C$321</definedName>
    <definedName name="liens">'1. Description'!$H$281</definedName>
    <definedName name="liens_note">'1. Description'!$C$282</definedName>
    <definedName name="loanclosing">'1. Description'!$K$57</definedName>
    <definedName name="mainpage">'3. Sources Uses'!$A$1:$L$237</definedName>
    <definedName name="major_systems">'1. Description'!$D$194</definedName>
    <definedName name="MAXRENTS">'4. Operating'!$AC$5:$CG$11</definedName>
    <definedName name="median_20family_20income_2099" localSheetId="3">'4. Operating'!$R$216:$R$217</definedName>
    <definedName name="medianfamilyincome99" localSheetId="3">'4. Operating'!$R$216:$R$217</definedName>
    <definedName name="medianincome">'4. Operating'!$E$224</definedName>
    <definedName name="metrofmr">'Fair Market Rents'!$A$4:$F$18</definedName>
    <definedName name="mfi" localSheetId="3">'4. Operating'!$L$216:$N$247</definedName>
    <definedName name="mfi" localSheetId="16">'Other Information'!#REF!</definedName>
    <definedName name="mfi_1" localSheetId="16">'Other Information'!#REF!</definedName>
    <definedName name="mhic" localSheetId="16">'Other Information'!#REF!</definedName>
    <definedName name="mhic1" localSheetId="16">'Other Information'!#REF!</definedName>
    <definedName name="microwave">'1. Description'!$E$160</definedName>
    <definedName name="MIDDLESEX">'Income Limits'!$A$25:$C$26</definedName>
    <definedName name="minimum_units">'5. Tax Credits'!$H$24</definedName>
    <definedName name="mortagage_funding">'1. Description'!$K$107</definedName>
    <definedName name="msa_name">'4. Operating'!$F$212</definedName>
    <definedName name="msalist">'Other Information'!$C$2:$C$18</definedName>
    <definedName name="MTG.TERM">'3. Sources Uses'!$K$14:$K$14</definedName>
    <definedName name="mytest">'4. Operating'!$H$228</definedName>
    <definedName name="NANTUCKET">'Income Limits'!$A$28:$C$28</definedName>
    <definedName name="new_construction">'1. Description'!$C$26</definedName>
    <definedName name="newconstruction_or_subsrehab">'1. Description'!$H$310</definedName>
    <definedName name="newconstruction_or_subsrehab_note">'1. Description'!$C$314</definedName>
    <definedName name="newconstruction_or_subsrehab_note1">'1. Description'!$C$314</definedName>
    <definedName name="newconstruction_or_subsrehab_note2">'1. Description'!$C$315</definedName>
    <definedName name="newcontruction_or_subsrehab">'1. Description'!$H$310</definedName>
    <definedName name="newcontruction_or_subsrehab_note">'1. Description'!$C$314</definedName>
    <definedName name="newmfi" localSheetId="16">'Other Information'!$E$47:$H$75</definedName>
    <definedName name="NEWMFI_1" localSheetId="16">'Other Information'!#REF!</definedName>
    <definedName name="newmfi_2" localSheetId="16">'Other Information'!#REF!</definedName>
    <definedName name="newmfi_3" localSheetId="16">'Other Information'!#REF!</definedName>
    <definedName name="nonmetrofmr">'Fair Market Rents'!$H$4:$M$11</definedName>
    <definedName name="nonownership">'1. Description'!$E$269:$E$274</definedName>
    <definedName name="NORFOLK">'Income Limits'!$A$30:$C$31</definedName>
    <definedName name="numbdr1">'1. Description'!$L$66</definedName>
    <definedName name="numbdr2">'1. Description'!$L$67</definedName>
    <definedName name="numbdr3">'1. Description'!$L$68</definedName>
    <definedName name="numbdr4">'1. Description'!$L$69</definedName>
    <definedName name="numbdr5">'1. Description'!$L$70</definedName>
    <definedName name="numbdr6">'1. Description'!$L$71</definedName>
    <definedName name="number_of_elevators">'1. Description'!$I$155</definedName>
    <definedName name="official_action">'1. Description'!$H$106</definedName>
    <definedName name="ONE_STOP">'1. Description'!$A$1:$J$2012</definedName>
    <definedName name="OPERATE">Output!$A$375:$J$437</definedName>
    <definedName name="Other_fund">'1. Description'!$H$119</definedName>
    <definedName name="other1">'1. Description'!$G$120</definedName>
    <definedName name="other2">'1. Description'!$G$121</definedName>
    <definedName name="other3">'1. Description'!$G$122</definedName>
    <definedName name="otherinfo" localSheetId="16">'Other Information'!$A$1:$C$27</definedName>
    <definedName name="OUTPUT">Output!$A$1:$J$498</definedName>
    <definedName name="peoplefactor">'Other Information'!$E$3:$G$10</definedName>
    <definedName name="permanent_financing">'1. Description'!$H$108</definedName>
    <definedName name="permanent_rental">'1. Description'!$H$111</definedName>
    <definedName name="PLYMOUTH">'Income Limits'!$A$33:$C$34</definedName>
    <definedName name="PRINCIPAL">'3. Sources Uses'!$F$14:$F$14</definedName>
    <definedName name="_xlnm.Print_Area" localSheetId="0">'1. Description'!$A$1:$J$355</definedName>
    <definedName name="_xlnm.Print_Area" localSheetId="1">'2. Dev. Team'!$A$1:$J$176</definedName>
    <definedName name="_xlnm.Print_Area" localSheetId="2">'3. Sources Uses'!$A$1:$L$237</definedName>
    <definedName name="_xlnm.Print_Area" localSheetId="3">'4. Operating'!$A$1:$J$289</definedName>
    <definedName name="_xlnm.Print_Area" localSheetId="4">'5. Tax Credits'!$A$1:$J$119</definedName>
    <definedName name="_xlnm.Print_Area" localSheetId="5">'6. Exhibits'!$A$1:$J$123</definedName>
    <definedName name="_xlnm.Print_Area" localSheetId="8">Check!$A$1:$J$152</definedName>
    <definedName name="_xlnm.Print_Area" localSheetId="10">Exhibit31A!$A$1:$D$113</definedName>
    <definedName name="_xlnm.Print_Area" localSheetId="18">FAQs!$A$1:$T$68</definedName>
    <definedName name="_xlnm.Print_Area" localSheetId="13">'Income Limits'!$A$1:$C$52</definedName>
    <definedName name="_xlnm.Print_Area" localSheetId="16">'Other Information'!$A$1:$D$35</definedName>
    <definedName name="_xlnm.Print_Area" localSheetId="7">Output!$A$1:$J$497</definedName>
    <definedName name="_xlnm.Print_Area" localSheetId="15">QCTs!$C$1:$P$79</definedName>
    <definedName name="_xlnm.Print_Area" localSheetId="19">'What''s New'!$A$1:$L$81</definedName>
    <definedName name="_xlnm.Print_Titles" localSheetId="15">QCTs!$1:$3</definedName>
    <definedName name="PROFORMA">Output!$A$126:$J$374</definedName>
    <definedName name="PROJNAME">'1. Description'!$E$7</definedName>
    <definedName name="proposed_housing_type">'1. Description'!$E$33</definedName>
    <definedName name="PROTECTTEST">#REF!</definedName>
    <definedName name="public_water">'1. Description'!$D$236</definedName>
    <definedName name="public_water_distance">'1. Description'!$G$236</definedName>
    <definedName name="Qct" localSheetId="15">QCTs!$C$1:$P$71</definedName>
    <definedName name="qct_1" localSheetId="15">QCTs!$C$1</definedName>
    <definedName name="Qct_2" localSheetId="15">QCTs!$C$1:$P$101</definedName>
    <definedName name="qct_update">'1. Description'!$I$21</definedName>
    <definedName name="QCTLIST">QCTs!$A$4:$A$67</definedName>
    <definedName name="QCTMASTERLIST">QCTs!$C$3:$P$71</definedName>
    <definedName name="qctstart">QCTs!$C$1</definedName>
    <definedName name="qualified_census">'1. Description'!$E$19</definedName>
    <definedName name="qualified_census_answer">'1. Description'!$H$19</definedName>
    <definedName name="qualified_census_question">'1. Description'!$G$19</definedName>
    <definedName name="R_Value_or_type?">'1. Description'!$F$208</definedName>
    <definedName name="radon_levels">'1. Description'!$H$327</definedName>
    <definedName name="radon_levels_note">'1. Description'!$C$328</definedName>
    <definedName name="range">'1. Description'!$E$158</definedName>
    <definedName name="refrigerator">'1. Description'!$E$159</definedName>
    <definedName name="REGIONFILL">'4. Operating'!$D$212:$E$212</definedName>
    <definedName name="REGIONNAME">'4. Operating'!$AC$5:$CG$11</definedName>
    <definedName name="rehab_cost_historic">'5. Tax Credits'!$H$28</definedName>
    <definedName name="rehab_credit">'5. Tax Credits'!$H$17</definedName>
    <definedName name="relocation_of_tenants">'1. Description'!$H$189</definedName>
    <definedName name="relocation_of_tenants_note">'1. Description'!$C$190</definedName>
    <definedName name="relocation_of_tenants_question">'1. Description'!$C$189</definedName>
    <definedName name="RENT">Output!$A$64:$J$125</definedName>
    <definedName name="RENT_TO">'4. Operating'!$G$218:$I$223</definedName>
    <definedName name="RENTAUTO">'4. Operating'!$AF$217:$AH$222</definedName>
    <definedName name="RENTAUTOS">'4. Operating'!$AF$224:$AH$229</definedName>
    <definedName name="RENTDATE">'4. Operating'!$AC$12</definedName>
    <definedName name="RENTMAN">'4. Operating'!#REF!</definedName>
    <definedName name="ROUNDINCLIMITTO">'Other Information'!$U$288:$U$288</definedName>
    <definedName name="san_sewer">'1. Description'!$D$234</definedName>
    <definedName name="san_sewer_distance">'1. Description'!$G$234</definedName>
    <definedName name="scattered_sites">'1. Description'!$D$17</definedName>
    <definedName name="scattered_sites_note">'1. Description'!$C$18</definedName>
    <definedName name="scope_of_rehab">'1. Description'!$C$192</definedName>
    <definedName name="SECTION1">'1. Description'!$A$1:$J$355</definedName>
    <definedName name="SECTION2">'2. Dev. Team'!$A$1:$J$176</definedName>
    <definedName name="SECTION3">'3. Sources Uses'!$A$1:$L$237</definedName>
    <definedName name="SECTION4">'4. Operating'!$A$1:$J$234</definedName>
    <definedName name="SECTION5">'5. Tax Credits'!$A$1:$J$119</definedName>
    <definedName name="SECTION6">'6. Exhibits'!$A$1:$J$123</definedName>
    <definedName name="SECTION7">'7. Signature'!$A$1:$J$65</definedName>
    <definedName name="SECURE">#REF!</definedName>
    <definedName name="SHADE1">'1. Description'!#REF!</definedName>
    <definedName name="SHADE11">'Exhibit 11'!#REF!</definedName>
    <definedName name="SHADE2">'2. Dev. Team'!#REF!</definedName>
    <definedName name="SHADE3">'3. Sources Uses'!$N$1:$W$232</definedName>
    <definedName name="SHADE4">'4. Operating'!#REF!</definedName>
    <definedName name="SHADE5">'5. Tax Credits'!#REF!</definedName>
    <definedName name="SHADE6">'6. Exhibits'!#REF!</definedName>
    <definedName name="SHADE7">'7. Signature'!#REF!</definedName>
    <definedName name="SHADECHECK">Check!#REF!</definedName>
    <definedName name="SHADEOUT">Output!#REF!</definedName>
    <definedName name="SHADING">'1. Description:Check'!$P$25:$U$120</definedName>
    <definedName name="site_control">'1. Description'!$F$264:$H$264</definedName>
    <definedName name="special_features">'1. Description'!$D$202</definedName>
    <definedName name="ssnum64">'2. Dev. Team'!$G$26</definedName>
    <definedName name="ssnum65">'2. Dev. Team'!$G$36</definedName>
    <definedName name="ssnum66">'2. Dev. Team'!$G$47</definedName>
    <definedName name="staticinfo" localSheetId="16">'Other Information'!#REF!</definedName>
    <definedName name="Staticinfo_1" localSheetId="16">'Other Information'!$A$2:$C$27</definedName>
    <definedName name="storm_sewer">'1. Description'!$D$235</definedName>
    <definedName name="storm_sewer_distance">'1. Description'!$G$235</definedName>
    <definedName name="subsidy_layering">'3. Sources Uses'!$I$225</definedName>
    <definedName name="substandard">'1. Description'!$D$198</definedName>
    <definedName name="SUFFOLK">'Income Limits'!$A$36:$C$36</definedName>
    <definedName name="SUMMARY">Output!$A$1:$J$63</definedName>
    <definedName name="sustained_occupancy">'1. Description'!$K$56</definedName>
    <definedName name="TABLEFAMILYINC">'Other Information'!$S$293:$Y$307</definedName>
    <definedName name="tax_credit">'1. Description'!$H$115</definedName>
    <definedName name="tax_exempt_finance">'5. Tax Credits'!$H$15</definedName>
    <definedName name="taxcredit_estimate_margin">'5. Tax Credits'!$K$51</definedName>
    <definedName name="technical_support">FAQs!$B$41</definedName>
    <definedName name="test">QCTs!$C$3:$E$4</definedName>
    <definedName name="testrange">'1. Description'!$K$1:$K$21</definedName>
    <definedName name="testtable">'Other Information'!$E$34:$G$35</definedName>
    <definedName name="today_date">'Other Information'!$A$32</definedName>
    <definedName name="type_of_range">'1. Description'!$I$158</definedName>
    <definedName name="uffi">'1. Description'!$H$331</definedName>
    <definedName name="uffi_note">'1. Description'!$C$333</definedName>
    <definedName name="userdefined_income">'1. Description'!$G$74</definedName>
    <definedName name="USERTYPE">#REF!</definedName>
    <definedName name="utility_service">'1. Description'!$D$240</definedName>
    <definedName name="utility_service_note">'1. Description'!$C$242</definedName>
    <definedName name="version_number">'Other Information'!$A$34</definedName>
    <definedName name="washer_dryer">'1. Description'!$E$164</definedName>
    <definedName name="washer_hookup">'1. Description'!$E$163</definedName>
    <definedName name="webinfo">'4. Operating'!$AC$218:$AM$237</definedName>
    <definedName name="what1">'What''s New'!$B$12</definedName>
    <definedName name="what2">'What''s New'!$B$19</definedName>
    <definedName name="what3">'What''s New'!$B$27</definedName>
    <definedName name="what4">'What''s New'!$B$37</definedName>
    <definedName name="what5">'What''s New'!$B$50</definedName>
    <definedName name="what6">'What''s New'!$B$60</definedName>
    <definedName name="what7">'What''s New'!$B$65</definedName>
    <definedName name="what8">'What''s New'!$B$70</definedName>
    <definedName name="what9">'What''s New'!$B$76</definedName>
    <definedName name="whats_new">'What''s New'!$F$1</definedName>
    <definedName name="windows">'1. Description'!$E$209</definedName>
    <definedName name="windows_number">'1. Description'!$H$209</definedName>
    <definedName name="windows_rvalue">'1. Description'!$F$209</definedName>
    <definedName name="WORCESTER">'Income Limits'!$A$38:$C$41</definedName>
    <definedName name="zoning_ok">'1. Description'!$H$251</definedName>
    <definedName name="zoning_proposed_use">'1. Description'!$I$254</definedName>
    <definedName name="zoning_proposed_use1">'1. Description'!$C$254</definedName>
    <definedName name="zoning_proposed_use2">'1. Description'!$C$255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 l="1"/>
  <c r="A1" i="3" s="1"/>
  <c r="E224" i="5"/>
  <c r="I21" i="2"/>
  <c r="I214" i="5"/>
  <c r="I232" i="5"/>
  <c r="L79" i="2"/>
  <c r="K79" i="2" s="1"/>
  <c r="P94" i="2"/>
  <c r="O94" i="2"/>
  <c r="N94" i="2"/>
  <c r="M94" i="2"/>
  <c r="L94" i="2"/>
  <c r="P93" i="2"/>
  <c r="O93" i="2"/>
  <c r="N93" i="2"/>
  <c r="K93" i="2"/>
  <c r="M93" i="2"/>
  <c r="L93" i="2"/>
  <c r="P92" i="2"/>
  <c r="O92" i="2"/>
  <c r="N92" i="2"/>
  <c r="M92" i="2"/>
  <c r="L92" i="2"/>
  <c r="P91" i="2"/>
  <c r="O91" i="2"/>
  <c r="N91" i="2"/>
  <c r="M91" i="2"/>
  <c r="L91" i="2"/>
  <c r="K91" i="2" s="1"/>
  <c r="P90" i="2"/>
  <c r="O90" i="2"/>
  <c r="N90" i="2"/>
  <c r="M90" i="2"/>
  <c r="L90" i="2"/>
  <c r="P89" i="2"/>
  <c r="O89" i="2"/>
  <c r="N89" i="2"/>
  <c r="M89" i="2"/>
  <c r="L89" i="2"/>
  <c r="P84" i="2"/>
  <c r="O84" i="2"/>
  <c r="N84" i="2"/>
  <c r="M84" i="2"/>
  <c r="L84" i="2"/>
  <c r="K84" i="2" s="1"/>
  <c r="P83" i="2"/>
  <c r="O83" i="2"/>
  <c r="N83" i="2"/>
  <c r="M83" i="2"/>
  <c r="K83" i="2" s="1"/>
  <c r="L83" i="2"/>
  <c r="P82" i="2"/>
  <c r="O82" i="2"/>
  <c r="N82" i="2"/>
  <c r="M82" i="2"/>
  <c r="L82" i="2"/>
  <c r="K82" i="2" s="1"/>
  <c r="P81" i="2"/>
  <c r="O81" i="2"/>
  <c r="N81" i="2"/>
  <c r="M81" i="2"/>
  <c r="L81" i="2"/>
  <c r="P80" i="2"/>
  <c r="O80" i="2"/>
  <c r="N80" i="2"/>
  <c r="M80" i="2"/>
  <c r="L80" i="2"/>
  <c r="P79" i="2"/>
  <c r="O79" i="2"/>
  <c r="N79" i="2"/>
  <c r="M79" i="2"/>
  <c r="L66" i="2"/>
  <c r="L71" i="2"/>
  <c r="L70" i="2"/>
  <c r="L69" i="2"/>
  <c r="L68" i="2"/>
  <c r="L67" i="2"/>
  <c r="I66" i="2"/>
  <c r="C94" i="2"/>
  <c r="C93" i="2"/>
  <c r="C92" i="2"/>
  <c r="C91" i="2"/>
  <c r="C90" i="2"/>
  <c r="C89" i="2"/>
  <c r="C84" i="2"/>
  <c r="C83" i="2"/>
  <c r="C82" i="2"/>
  <c r="C81" i="2"/>
  <c r="C80" i="2"/>
  <c r="C79" i="2"/>
  <c r="F48" i="2"/>
  <c r="H59" i="2"/>
  <c r="I186" i="9"/>
  <c r="G65" i="2"/>
  <c r="K85" i="2"/>
  <c r="I67" i="2"/>
  <c r="I68" i="2"/>
  <c r="I81" i="2" s="1"/>
  <c r="I69" i="2"/>
  <c r="G243" i="5" s="1"/>
  <c r="I70" i="2"/>
  <c r="I71" i="2"/>
  <c r="E129" i="2"/>
  <c r="E130" i="2"/>
  <c r="E131" i="2"/>
  <c r="E132" i="2"/>
  <c r="E133" i="2"/>
  <c r="E134" i="2"/>
  <c r="E135" i="2" s="1"/>
  <c r="E140" i="2"/>
  <c r="E141" i="2"/>
  <c r="K56" i="2"/>
  <c r="K57" i="2"/>
  <c r="G217" i="2"/>
  <c r="H217" i="2" s="1"/>
  <c r="G215" i="2"/>
  <c r="C21" i="10"/>
  <c r="H145" i="2"/>
  <c r="K107" i="2"/>
  <c r="I238" i="2"/>
  <c r="I237" i="2"/>
  <c r="I236" i="2"/>
  <c r="I235" i="2"/>
  <c r="I234" i="2"/>
  <c r="E180" i="2"/>
  <c r="A11" i="2"/>
  <c r="A12" i="2"/>
  <c r="A13" i="2" s="1"/>
  <c r="A15" i="2" s="1"/>
  <c r="A17" i="2" s="1"/>
  <c r="A19" i="2" s="1"/>
  <c r="A21" i="2" s="1"/>
  <c r="A25" i="2" s="1"/>
  <c r="G72" i="2"/>
  <c r="G46" i="9"/>
  <c r="G59" i="2"/>
  <c r="G186" i="2" s="1"/>
  <c r="B355" i="2"/>
  <c r="B299" i="2"/>
  <c r="B243" i="2"/>
  <c r="B186" i="2"/>
  <c r="B125" i="2"/>
  <c r="B26" i="2"/>
  <c r="C10" i="10" s="1"/>
  <c r="B30" i="2"/>
  <c r="B29" i="2"/>
  <c r="B28" i="2"/>
  <c r="B27" i="2"/>
  <c r="B59" i="2"/>
  <c r="I84" i="2"/>
  <c r="I82" i="2"/>
  <c r="D72" i="2"/>
  <c r="E72" i="2"/>
  <c r="F72" i="2"/>
  <c r="H72" i="2"/>
  <c r="I73" i="2"/>
  <c r="I91" i="2"/>
  <c r="I94" i="2"/>
  <c r="G135" i="2"/>
  <c r="I135" i="2"/>
  <c r="H150" i="2"/>
  <c r="H151" i="2"/>
  <c r="H152" i="2"/>
  <c r="H153" i="2"/>
  <c r="G176" i="2"/>
  <c r="G177" i="2"/>
  <c r="G178" i="2"/>
  <c r="E183" i="2"/>
  <c r="E184" i="2"/>
  <c r="G216" i="2"/>
  <c r="H216" i="2" s="1"/>
  <c r="E263" i="2"/>
  <c r="E265" i="2"/>
  <c r="J281" i="2"/>
  <c r="B116" i="3"/>
  <c r="B55" i="3"/>
  <c r="B176" i="3"/>
  <c r="F17" i="4"/>
  <c r="BQ8" i="4"/>
  <c r="BQ10" i="4"/>
  <c r="BQ18" i="4"/>
  <c r="BQ11" i="4"/>
  <c r="BS18" i="4"/>
  <c r="BN19" i="4" s="1"/>
  <c r="BO19" i="4" s="1"/>
  <c r="BD8" i="4"/>
  <c r="BH15" i="4" s="1"/>
  <c r="BA18" i="4"/>
  <c r="BD10" i="4"/>
  <c r="BD11" i="4"/>
  <c r="BF18" i="4" s="1"/>
  <c r="AQ8" i="4"/>
  <c r="AN18" i="4"/>
  <c r="AQ10" i="4"/>
  <c r="AR18" i="4"/>
  <c r="AR19" i="4" s="1"/>
  <c r="AR20" i="4" s="1"/>
  <c r="AR21" i="4" s="1"/>
  <c r="AR22" i="4" s="1"/>
  <c r="AR23" i="4" s="1"/>
  <c r="AR24" i="4" s="1"/>
  <c r="AR25" i="4" s="1"/>
  <c r="AR26" i="4" s="1"/>
  <c r="AR27" i="4" s="1"/>
  <c r="AR28" i="4" s="1"/>
  <c r="AR29" i="4" s="1"/>
  <c r="AR30" i="4" s="1"/>
  <c r="AR31" i="4" s="1"/>
  <c r="AR32" i="4" s="1"/>
  <c r="AR33" i="4" s="1"/>
  <c r="AR34" i="4" s="1"/>
  <c r="AR35" i="4" s="1"/>
  <c r="AR36" i="4" s="1"/>
  <c r="AR37" i="4" s="1"/>
  <c r="AR38" i="4" s="1"/>
  <c r="AR39" i="4" s="1"/>
  <c r="AR40" i="4" s="1"/>
  <c r="AR41" i="4" s="1"/>
  <c r="AR42" i="4" s="1"/>
  <c r="AR43" i="4" s="1"/>
  <c r="AR44" i="4" s="1"/>
  <c r="AR45" i="4" s="1"/>
  <c r="AR46" i="4" s="1"/>
  <c r="AR47" i="4" s="1"/>
  <c r="AR48" i="4" s="1"/>
  <c r="AR49" i="4" s="1"/>
  <c r="AR50" i="4" s="1"/>
  <c r="AR51" i="4" s="1"/>
  <c r="AR52" i="4" s="1"/>
  <c r="AR53" i="4" s="1"/>
  <c r="AR54" i="4" s="1"/>
  <c r="AR55" i="4" s="1"/>
  <c r="AR56" i="4" s="1"/>
  <c r="AR57" i="4" s="1"/>
  <c r="AR58" i="4" s="1"/>
  <c r="AQ18" i="4"/>
  <c r="AQ11" i="4"/>
  <c r="AS18" i="4"/>
  <c r="AQ19" i="4" s="1"/>
  <c r="AE11" i="4"/>
  <c r="AG18" i="4" s="1"/>
  <c r="AE8" i="4"/>
  <c r="AE10" i="4"/>
  <c r="AE18" i="4"/>
  <c r="I199" i="4"/>
  <c r="I203" i="4"/>
  <c r="E167" i="4"/>
  <c r="F112" i="4"/>
  <c r="F102" i="4"/>
  <c r="F113" i="4" s="1"/>
  <c r="F115" i="4" s="1"/>
  <c r="F114" i="4"/>
  <c r="BT17" i="4"/>
  <c r="BG17" i="4"/>
  <c r="AT17" i="4"/>
  <c r="AH17" i="4"/>
  <c r="V17" i="4"/>
  <c r="AU15" i="4"/>
  <c r="AE9" i="4"/>
  <c r="AE12" i="4"/>
  <c r="T11" i="4"/>
  <c r="U18" i="4" s="1"/>
  <c r="T9" i="4"/>
  <c r="T10" i="4"/>
  <c r="S18" i="4"/>
  <c r="T8" i="4"/>
  <c r="W15" i="4" s="1"/>
  <c r="T12" i="4"/>
  <c r="AQ9" i="4"/>
  <c r="AQ13" i="4" s="1"/>
  <c r="AQ14" i="4" s="1"/>
  <c r="AC7" i="4"/>
  <c r="AB7" i="4"/>
  <c r="R7" i="4"/>
  <c r="Q7" i="4"/>
  <c r="BQ9" i="4"/>
  <c r="BQ13" i="4"/>
  <c r="BQ14" i="4"/>
  <c r="BD9" i="4"/>
  <c r="E127" i="4"/>
  <c r="E129" i="4" s="1"/>
  <c r="E128" i="4"/>
  <c r="E136" i="4"/>
  <c r="E137" i="4"/>
  <c r="C54" i="10"/>
  <c r="E138" i="4"/>
  <c r="E139" i="4"/>
  <c r="E140" i="4"/>
  <c r="C56" i="10" s="1"/>
  <c r="E141" i="4"/>
  <c r="E142" i="4"/>
  <c r="E143" i="4"/>
  <c r="E144" i="4"/>
  <c r="E145" i="4"/>
  <c r="E146" i="4"/>
  <c r="C62" i="10"/>
  <c r="E147" i="4"/>
  <c r="C63" i="10" s="1"/>
  <c r="E148" i="4"/>
  <c r="C64" i="10" s="1"/>
  <c r="E149" i="4"/>
  <c r="C65" i="10"/>
  <c r="E150" i="4"/>
  <c r="E151" i="4"/>
  <c r="E152" i="4"/>
  <c r="E153" i="4"/>
  <c r="E155" i="4"/>
  <c r="E156" i="4"/>
  <c r="E157" i="4"/>
  <c r="B49" i="11"/>
  <c r="G384" i="11" s="1"/>
  <c r="E158" i="4"/>
  <c r="E159" i="4"/>
  <c r="E160" i="4"/>
  <c r="E161" i="4"/>
  <c r="E168" i="4"/>
  <c r="E169" i="4"/>
  <c r="I37" i="9"/>
  <c r="BQ15" i="4"/>
  <c r="BM18" i="4"/>
  <c r="BM19" i="4" s="1"/>
  <c r="BM20" i="4" s="1"/>
  <c r="BM21" i="4" s="1"/>
  <c r="BM22" i="4" s="1"/>
  <c r="BM23" i="4" s="1"/>
  <c r="BM24" i="4" s="1"/>
  <c r="BM25" i="4" s="1"/>
  <c r="BM26" i="4" s="1"/>
  <c r="BM27" i="4" s="1"/>
  <c r="BM28" i="4" s="1"/>
  <c r="BM29" i="4" s="1"/>
  <c r="BM30" i="4" s="1"/>
  <c r="BM31" i="4" s="1"/>
  <c r="BM32" i="4" s="1"/>
  <c r="BM33" i="4" s="1"/>
  <c r="BM34" i="4" s="1"/>
  <c r="BM35" i="4" s="1"/>
  <c r="BM36" i="4" s="1"/>
  <c r="BM37" i="4" s="1"/>
  <c r="BM38" i="4" s="1"/>
  <c r="BM39" i="4" s="1"/>
  <c r="BM40" i="4" s="1"/>
  <c r="BM41" i="4" s="1"/>
  <c r="BM42" i="4" s="1"/>
  <c r="BM43" i="4" s="1"/>
  <c r="BM44" i="4" s="1"/>
  <c r="BM45" i="4" s="1"/>
  <c r="BM46" i="4" s="1"/>
  <c r="BM47" i="4" s="1"/>
  <c r="BM48" i="4" s="1"/>
  <c r="BM49" i="4" s="1"/>
  <c r="BM50" i="4" s="1"/>
  <c r="BM51" i="4" s="1"/>
  <c r="BM52" i="4" s="1"/>
  <c r="BM53" i="4" s="1"/>
  <c r="BM54" i="4" s="1"/>
  <c r="BM55" i="4" s="1"/>
  <c r="BM56" i="4" s="1"/>
  <c r="BM57" i="4" s="1"/>
  <c r="BM58" i="4" s="1"/>
  <c r="BD15" i="4"/>
  <c r="AZ18" i="4" s="1"/>
  <c r="AZ19" i="4" s="1"/>
  <c r="AZ20" i="4" s="1"/>
  <c r="AZ21" i="4" s="1"/>
  <c r="AZ22" i="4" s="1"/>
  <c r="AZ23" i="4" s="1"/>
  <c r="AZ24" i="4" s="1"/>
  <c r="AZ25" i="4" s="1"/>
  <c r="AZ26" i="4" s="1"/>
  <c r="AZ27" i="4" s="1"/>
  <c r="AZ28" i="4" s="1"/>
  <c r="AZ29" i="4" s="1"/>
  <c r="AZ30" i="4" s="1"/>
  <c r="AZ31" i="4" s="1"/>
  <c r="AZ32" i="4" s="1"/>
  <c r="AZ33" i="4" s="1"/>
  <c r="AZ34" i="4" s="1"/>
  <c r="AZ35" i="4" s="1"/>
  <c r="AZ36" i="4" s="1"/>
  <c r="AZ37" i="4" s="1"/>
  <c r="AZ38" i="4" s="1"/>
  <c r="AZ39" i="4" s="1"/>
  <c r="AZ40" i="4" s="1"/>
  <c r="AZ41" i="4" s="1"/>
  <c r="AZ42" i="4" s="1"/>
  <c r="AZ43" i="4" s="1"/>
  <c r="AZ44" i="4" s="1"/>
  <c r="AZ45" i="4" s="1"/>
  <c r="AZ46" i="4" s="1"/>
  <c r="AZ47" i="4" s="1"/>
  <c r="AZ48" i="4" s="1"/>
  <c r="AZ49" i="4" s="1"/>
  <c r="AZ50" i="4" s="1"/>
  <c r="AZ51" i="4" s="1"/>
  <c r="AZ52" i="4" s="1"/>
  <c r="AZ53" i="4" s="1"/>
  <c r="AZ54" i="4" s="1"/>
  <c r="AZ55" i="4" s="1"/>
  <c r="AZ56" i="4" s="1"/>
  <c r="AZ57" i="4" s="1"/>
  <c r="AZ58" i="4" s="1"/>
  <c r="AQ15" i="4"/>
  <c r="AM18" i="4" s="1"/>
  <c r="AM19" i="4" s="1"/>
  <c r="AM20" i="4" s="1"/>
  <c r="AM21" i="4" s="1"/>
  <c r="AM22" i="4" s="1"/>
  <c r="AM23" i="4" s="1"/>
  <c r="AM24" i="4" s="1"/>
  <c r="AM25" i="4" s="1"/>
  <c r="AM26" i="4" s="1"/>
  <c r="AM27" i="4" s="1"/>
  <c r="AM28" i="4" s="1"/>
  <c r="AM29" i="4" s="1"/>
  <c r="AM30" i="4" s="1"/>
  <c r="AM31" i="4" s="1"/>
  <c r="AM32" i="4" s="1"/>
  <c r="AM33" i="4" s="1"/>
  <c r="AM34" i="4" s="1"/>
  <c r="AM35" i="4" s="1"/>
  <c r="AM36" i="4" s="1"/>
  <c r="AM37" i="4" s="1"/>
  <c r="AM38" i="4" s="1"/>
  <c r="AM39" i="4" s="1"/>
  <c r="AM40" i="4" s="1"/>
  <c r="AM41" i="4" s="1"/>
  <c r="AM42" i="4" s="1"/>
  <c r="AM43" i="4" s="1"/>
  <c r="AM44" i="4" s="1"/>
  <c r="AM45" i="4" s="1"/>
  <c r="AM46" i="4" s="1"/>
  <c r="AM47" i="4" s="1"/>
  <c r="AM48" i="4" s="1"/>
  <c r="AM49" i="4" s="1"/>
  <c r="AM50" i="4" s="1"/>
  <c r="AM51" i="4" s="1"/>
  <c r="AM52" i="4" s="1"/>
  <c r="AM53" i="4" s="1"/>
  <c r="AM54" i="4" s="1"/>
  <c r="AM55" i="4" s="1"/>
  <c r="AM56" i="4" s="1"/>
  <c r="AM57" i="4" s="1"/>
  <c r="AM58" i="4" s="1"/>
  <c r="AE15" i="4"/>
  <c r="AA18" i="4" s="1"/>
  <c r="AA19" i="4" s="1"/>
  <c r="AA20" i="4" s="1"/>
  <c r="AA21" i="4" s="1"/>
  <c r="AA22" i="4" s="1"/>
  <c r="AA23" i="4" s="1"/>
  <c r="AA24" i="4" s="1"/>
  <c r="AA25" i="4" s="1"/>
  <c r="AA26" i="4" s="1"/>
  <c r="AA27" i="4" s="1"/>
  <c r="AA28" i="4" s="1"/>
  <c r="AA29" i="4" s="1"/>
  <c r="AA30" i="4" s="1"/>
  <c r="AA31" i="4" s="1"/>
  <c r="AA32" i="4" s="1"/>
  <c r="AA33" i="4" s="1"/>
  <c r="AA34" i="4" s="1"/>
  <c r="AA35" i="4" s="1"/>
  <c r="AA36" i="4" s="1"/>
  <c r="AA37" i="4" s="1"/>
  <c r="AA38" i="4" s="1"/>
  <c r="AA39" i="4" s="1"/>
  <c r="AA40" i="4" s="1"/>
  <c r="AA41" i="4" s="1"/>
  <c r="AA42" i="4" s="1"/>
  <c r="AA43" i="4" s="1"/>
  <c r="AA44" i="4" s="1"/>
  <c r="AA45" i="4" s="1"/>
  <c r="AA46" i="4" s="1"/>
  <c r="AA47" i="4" s="1"/>
  <c r="AA48" i="4" s="1"/>
  <c r="AA49" i="4" s="1"/>
  <c r="AA50" i="4" s="1"/>
  <c r="AA51" i="4" s="1"/>
  <c r="AA52" i="4" s="1"/>
  <c r="AA53" i="4" s="1"/>
  <c r="AA54" i="4" s="1"/>
  <c r="AA55" i="4" s="1"/>
  <c r="AA56" i="4" s="1"/>
  <c r="AA57" i="4" s="1"/>
  <c r="AA58" i="4" s="1"/>
  <c r="T15" i="4"/>
  <c r="O18" i="4"/>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B237" i="4"/>
  <c r="C176" i="4"/>
  <c r="G129" i="4"/>
  <c r="G133" i="4"/>
  <c r="G162" i="4"/>
  <c r="BR18" i="4"/>
  <c r="BR19" i="4" s="1"/>
  <c r="BR20" i="4" s="1"/>
  <c r="BR21" i="4" s="1"/>
  <c r="BR22" i="4" s="1"/>
  <c r="BR23" i="4" s="1"/>
  <c r="BR24" i="4" s="1"/>
  <c r="BR25" i="4" s="1"/>
  <c r="BR26" i="4" s="1"/>
  <c r="BR27" i="4" s="1"/>
  <c r="BR28" i="4" s="1"/>
  <c r="BR29" i="4" s="1"/>
  <c r="BR30" i="4" s="1"/>
  <c r="BR31" i="4" s="1"/>
  <c r="BR32" i="4" s="1"/>
  <c r="BR33" i="4" s="1"/>
  <c r="BR34" i="4" s="1"/>
  <c r="BR35" i="4" s="1"/>
  <c r="BR36" i="4" s="1"/>
  <c r="BR37" i="4" s="1"/>
  <c r="BR38" i="4" s="1"/>
  <c r="BR39" i="4" s="1"/>
  <c r="BR40" i="4" s="1"/>
  <c r="BR41" i="4" s="1"/>
  <c r="BR42" i="4" s="1"/>
  <c r="BR43" i="4" s="1"/>
  <c r="BR44" i="4" s="1"/>
  <c r="BR45" i="4" s="1"/>
  <c r="BR46" i="4" s="1"/>
  <c r="BR47" i="4" s="1"/>
  <c r="BR48" i="4" s="1"/>
  <c r="BR49" i="4" s="1"/>
  <c r="BR50" i="4" s="1"/>
  <c r="BR51" i="4" s="1"/>
  <c r="BR52" i="4" s="1"/>
  <c r="BR53" i="4" s="1"/>
  <c r="BR54" i="4" s="1"/>
  <c r="BR55" i="4" s="1"/>
  <c r="BR56" i="4" s="1"/>
  <c r="BR57" i="4" s="1"/>
  <c r="BR58" i="4" s="1"/>
  <c r="B56" i="4"/>
  <c r="C122" i="4"/>
  <c r="F30" i="4"/>
  <c r="C29" i="10" s="1"/>
  <c r="F41" i="4"/>
  <c r="I191" i="4"/>
  <c r="C75" i="10"/>
  <c r="I220" i="4"/>
  <c r="F129" i="4"/>
  <c r="E66" i="6"/>
  <c r="F162" i="4"/>
  <c r="E99" i="6" s="1"/>
  <c r="E154" i="4"/>
  <c r="C219" i="5"/>
  <c r="F217" i="5"/>
  <c r="C223" i="5"/>
  <c r="E223" i="5" s="1"/>
  <c r="C222" i="5"/>
  <c r="D222" i="5" s="1"/>
  <c r="C221" i="5"/>
  <c r="C220" i="5"/>
  <c r="C218" i="5"/>
  <c r="E229" i="5"/>
  <c r="E228" i="5"/>
  <c r="E231" i="5"/>
  <c r="E232" i="5" s="1"/>
  <c r="E230" i="5"/>
  <c r="C45" i="5"/>
  <c r="C44" i="5"/>
  <c r="C43" i="5"/>
  <c r="C42" i="5"/>
  <c r="C41" i="5"/>
  <c r="C40" i="5"/>
  <c r="C37" i="5"/>
  <c r="C36" i="5"/>
  <c r="C35" i="5"/>
  <c r="C34" i="5"/>
  <c r="C33" i="5"/>
  <c r="C32" i="5"/>
  <c r="C29" i="5"/>
  <c r="C28" i="5"/>
  <c r="C27" i="5"/>
  <c r="C26" i="5"/>
  <c r="C25" i="5"/>
  <c r="C24" i="5"/>
  <c r="C21" i="5"/>
  <c r="C20" i="5"/>
  <c r="C19" i="5"/>
  <c r="C18" i="5"/>
  <c r="C17" i="5"/>
  <c r="C16" i="5"/>
  <c r="C13" i="5"/>
  <c r="C12" i="5"/>
  <c r="C11" i="5"/>
  <c r="C10" i="5"/>
  <c r="C9" i="5"/>
  <c r="C8" i="5"/>
  <c r="E141" i="5"/>
  <c r="E142" i="5"/>
  <c r="E143" i="5"/>
  <c r="E144" i="5"/>
  <c r="E145" i="5"/>
  <c r="E146" i="5"/>
  <c r="E147" i="5"/>
  <c r="E148" i="5"/>
  <c r="E149" i="5"/>
  <c r="E150" i="5"/>
  <c r="E151" i="5"/>
  <c r="E152" i="5"/>
  <c r="E127" i="5"/>
  <c r="E128" i="5"/>
  <c r="E129" i="5"/>
  <c r="E130" i="5"/>
  <c r="E131" i="5"/>
  <c r="E132" i="5"/>
  <c r="E133" i="5"/>
  <c r="E134" i="5"/>
  <c r="E135" i="5"/>
  <c r="E136" i="5"/>
  <c r="E137" i="5"/>
  <c r="E138" i="5"/>
  <c r="E125" i="5"/>
  <c r="H254" i="5"/>
  <c r="H255" i="5"/>
  <c r="H256" i="5"/>
  <c r="H257" i="5"/>
  <c r="H258" i="5"/>
  <c r="H259" i="5"/>
  <c r="H260" i="5"/>
  <c r="H261" i="5"/>
  <c r="H262" i="5"/>
  <c r="F263" i="5"/>
  <c r="E155" i="5"/>
  <c r="I256" i="5"/>
  <c r="E159" i="5"/>
  <c r="I257" i="5"/>
  <c r="E161" i="5"/>
  <c r="E162" i="5"/>
  <c r="E163" i="5"/>
  <c r="E164" i="5"/>
  <c r="E167" i="5"/>
  <c r="E169" i="5"/>
  <c r="I260" i="5" s="1"/>
  <c r="E171" i="5"/>
  <c r="I261" i="5" s="1"/>
  <c r="E172" i="5"/>
  <c r="E170" i="9" s="1"/>
  <c r="F170" i="9" s="1"/>
  <c r="G170" i="9" s="1"/>
  <c r="H170" i="9" s="1"/>
  <c r="I170" i="9" s="1"/>
  <c r="E231" i="9" s="1"/>
  <c r="F231" i="9" s="1"/>
  <c r="G231" i="9" s="1"/>
  <c r="H231" i="9" s="1"/>
  <c r="I231" i="9" s="1"/>
  <c r="E294" i="9" s="1"/>
  <c r="F294" i="9" s="1"/>
  <c r="G294" i="9" s="1"/>
  <c r="H294" i="9" s="1"/>
  <c r="I294" i="9" s="1"/>
  <c r="D357" i="9" s="1"/>
  <c r="E357" i="9" s="1"/>
  <c r="F357" i="9" s="1"/>
  <c r="G357" i="9" s="1"/>
  <c r="H357" i="9" s="1"/>
  <c r="I357" i="9" s="1"/>
  <c r="E173" i="5"/>
  <c r="E175" i="5"/>
  <c r="H263" i="5"/>
  <c r="H253" i="5"/>
  <c r="D242" i="5"/>
  <c r="F242" i="5" s="1"/>
  <c r="I242" i="5"/>
  <c r="D243" i="5"/>
  <c r="D244" i="5"/>
  <c r="D245" i="5"/>
  <c r="F245" i="5"/>
  <c r="I8" i="5"/>
  <c r="G31" i="5"/>
  <c r="D82" i="5"/>
  <c r="I217" i="5"/>
  <c r="D197" i="5"/>
  <c r="D196" i="5"/>
  <c r="C197" i="5"/>
  <c r="C196" i="5"/>
  <c r="D83" i="5"/>
  <c r="D84" i="5"/>
  <c r="D85" i="5"/>
  <c r="D86" i="5"/>
  <c r="D87" i="5"/>
  <c r="E227" i="5"/>
  <c r="D48" i="5"/>
  <c r="H48" i="5" s="1"/>
  <c r="G242" i="5"/>
  <c r="G245" i="5"/>
  <c r="C245" i="5"/>
  <c r="C244" i="5"/>
  <c r="C243" i="5"/>
  <c r="C242" i="5"/>
  <c r="C241" i="5"/>
  <c r="C240" i="5"/>
  <c r="H8" i="5"/>
  <c r="B53" i="5"/>
  <c r="I16" i="5"/>
  <c r="H37" i="5"/>
  <c r="H36" i="5"/>
  <c r="H35" i="5"/>
  <c r="H34" i="5"/>
  <c r="H33" i="5"/>
  <c r="H32" i="5"/>
  <c r="H29" i="5"/>
  <c r="H28" i="5"/>
  <c r="H27" i="5"/>
  <c r="H26" i="5"/>
  <c r="H25" i="5"/>
  <c r="H24" i="5"/>
  <c r="H21" i="5"/>
  <c r="H20" i="5"/>
  <c r="H19" i="5"/>
  <c r="H18" i="5"/>
  <c r="H17" i="5"/>
  <c r="H16" i="5"/>
  <c r="H9" i="5"/>
  <c r="H10" i="5"/>
  <c r="H11" i="5"/>
  <c r="H12" i="5"/>
  <c r="H13" i="5"/>
  <c r="I17" i="5"/>
  <c r="J17" i="5"/>
  <c r="I18" i="5"/>
  <c r="J18" i="5"/>
  <c r="I19" i="5"/>
  <c r="J19" i="5"/>
  <c r="I20" i="5"/>
  <c r="I21" i="5"/>
  <c r="J21" i="5" s="1"/>
  <c r="I24" i="5"/>
  <c r="J24" i="5"/>
  <c r="I25" i="5"/>
  <c r="I26" i="5"/>
  <c r="I27" i="5"/>
  <c r="J27" i="5"/>
  <c r="I28" i="5"/>
  <c r="J28" i="5"/>
  <c r="I29" i="5"/>
  <c r="J29" i="5"/>
  <c r="I9" i="5"/>
  <c r="J9" i="5"/>
  <c r="I10" i="5"/>
  <c r="J10" i="5"/>
  <c r="I11" i="5"/>
  <c r="I12" i="5"/>
  <c r="J12" i="5" s="1"/>
  <c r="I13" i="5"/>
  <c r="J13" i="5" s="1"/>
  <c r="I41" i="5"/>
  <c r="I42" i="5"/>
  <c r="I43" i="5"/>
  <c r="J43" i="5" s="1"/>
  <c r="I40" i="5"/>
  <c r="J40" i="5" s="1"/>
  <c r="I45" i="5"/>
  <c r="I44" i="5"/>
  <c r="J44" i="5" s="1"/>
  <c r="I32" i="5"/>
  <c r="J32" i="5" s="1"/>
  <c r="C289" i="5"/>
  <c r="I245" i="5"/>
  <c r="A235" i="5"/>
  <c r="B287" i="5"/>
  <c r="B285" i="5"/>
  <c r="B284" i="5"/>
  <c r="B281" i="5"/>
  <c r="B280" i="5"/>
  <c r="B279" i="5"/>
  <c r="B278" i="5"/>
  <c r="B275" i="5"/>
  <c r="B271" i="5"/>
  <c r="J11" i="5"/>
  <c r="J26" i="5"/>
  <c r="I33" i="5"/>
  <c r="J33" i="5"/>
  <c r="I34" i="5"/>
  <c r="J34" i="5"/>
  <c r="I35" i="5"/>
  <c r="J35" i="5"/>
  <c r="I36" i="5"/>
  <c r="J36" i="5"/>
  <c r="I37" i="5"/>
  <c r="J37" i="5"/>
  <c r="C234" i="5"/>
  <c r="C180" i="5"/>
  <c r="C121" i="5"/>
  <c r="G197" i="5"/>
  <c r="G196" i="5"/>
  <c r="AC12" i="5"/>
  <c r="AE7" i="5"/>
  <c r="AH7" i="5"/>
  <c r="AK7" i="5"/>
  <c r="AN7" i="5"/>
  <c r="AQ7" i="5"/>
  <c r="AT7" i="5"/>
  <c r="AW7" i="5"/>
  <c r="AZ7" i="5"/>
  <c r="BC7" i="5"/>
  <c r="BF7" i="5"/>
  <c r="BI7" i="5"/>
  <c r="BL7" i="5"/>
  <c r="BO7" i="5"/>
  <c r="BR7" i="5"/>
  <c r="BU7" i="5"/>
  <c r="BX7" i="5"/>
  <c r="CA7" i="5"/>
  <c r="CD7" i="5"/>
  <c r="CG7" i="5"/>
  <c r="AE8" i="5"/>
  <c r="AH8" i="5"/>
  <c r="AK8" i="5"/>
  <c r="AN8" i="5"/>
  <c r="AQ8" i="5"/>
  <c r="AT8" i="5"/>
  <c r="AW8" i="5"/>
  <c r="AZ8" i="5"/>
  <c r="BC8" i="5"/>
  <c r="BF8" i="5"/>
  <c r="BI8" i="5"/>
  <c r="BL8" i="5"/>
  <c r="BO8" i="5"/>
  <c r="BR8" i="5"/>
  <c r="BU8" i="5"/>
  <c r="BX8" i="5"/>
  <c r="CA8" i="5"/>
  <c r="CD8" i="5"/>
  <c r="CG8" i="5"/>
  <c r="AE9" i="5"/>
  <c r="AH9" i="5"/>
  <c r="AK9" i="5"/>
  <c r="AN9" i="5"/>
  <c r="AQ9" i="5"/>
  <c r="AT9" i="5"/>
  <c r="AW9" i="5"/>
  <c r="AZ9" i="5"/>
  <c r="BC9" i="5"/>
  <c r="BF9" i="5"/>
  <c r="BI9" i="5"/>
  <c r="BL9" i="5"/>
  <c r="BO9" i="5"/>
  <c r="BR9" i="5"/>
  <c r="BU9" i="5"/>
  <c r="BX9" i="5"/>
  <c r="CA9" i="5"/>
  <c r="CD9" i="5"/>
  <c r="CG9" i="5"/>
  <c r="AE10" i="5"/>
  <c r="AH10" i="5"/>
  <c r="AK10" i="5"/>
  <c r="AN10" i="5"/>
  <c r="AQ10" i="5"/>
  <c r="AT10" i="5"/>
  <c r="AW10" i="5"/>
  <c r="AZ10" i="5"/>
  <c r="BC10" i="5"/>
  <c r="BF10" i="5"/>
  <c r="BI10" i="5"/>
  <c r="BL10" i="5"/>
  <c r="BO10" i="5"/>
  <c r="BR10" i="5"/>
  <c r="BU10" i="5"/>
  <c r="BX10" i="5"/>
  <c r="CA10" i="5"/>
  <c r="CD10" i="5"/>
  <c r="CG10" i="5"/>
  <c r="AE11" i="5"/>
  <c r="AH11" i="5"/>
  <c r="AK11" i="5"/>
  <c r="AN11" i="5"/>
  <c r="AQ11" i="5"/>
  <c r="AT11" i="5"/>
  <c r="AW11" i="5"/>
  <c r="AZ11" i="5"/>
  <c r="BC11" i="5"/>
  <c r="BF11" i="5"/>
  <c r="BI11" i="5"/>
  <c r="BL11" i="5"/>
  <c r="BO11" i="5"/>
  <c r="BR11" i="5"/>
  <c r="BU11" i="5"/>
  <c r="BX11" i="5"/>
  <c r="CA11" i="5"/>
  <c r="CD11" i="5"/>
  <c r="CG11" i="5"/>
  <c r="F139" i="5"/>
  <c r="G139" i="5"/>
  <c r="F153" i="5"/>
  <c r="G153" i="5"/>
  <c r="G178" i="5"/>
  <c r="H432" i="9" s="1"/>
  <c r="F165" i="5"/>
  <c r="G165" i="5"/>
  <c r="G176" i="5"/>
  <c r="H430" i="9" s="1"/>
  <c r="G198" i="5"/>
  <c r="G199" i="5"/>
  <c r="D200" i="5"/>
  <c r="G201" i="5"/>
  <c r="D202" i="5"/>
  <c r="E11" i="6"/>
  <c r="E8" i="6"/>
  <c r="E65" i="6"/>
  <c r="G65" i="6"/>
  <c r="G66" i="6" s="1"/>
  <c r="G101" i="6" s="1"/>
  <c r="G112" i="6" s="1"/>
  <c r="G36" i="6" s="1"/>
  <c r="G70" i="6"/>
  <c r="G99" i="6"/>
  <c r="G37" i="6"/>
  <c r="G44" i="6"/>
  <c r="I41" i="6"/>
  <c r="H66" i="6"/>
  <c r="E73" i="6"/>
  <c r="I73" i="6"/>
  <c r="H73" i="6" s="1"/>
  <c r="E74" i="6"/>
  <c r="I74" i="6" s="1"/>
  <c r="E75" i="6"/>
  <c r="I75" i="6" s="1"/>
  <c r="E76" i="6"/>
  <c r="I76" i="6" s="1"/>
  <c r="E77" i="6"/>
  <c r="I77" i="6" s="1"/>
  <c r="E78" i="6"/>
  <c r="E79" i="6"/>
  <c r="I79" i="6" s="1"/>
  <c r="H79" i="6" s="1"/>
  <c r="E80" i="6"/>
  <c r="E82" i="6"/>
  <c r="I82" i="6" s="1"/>
  <c r="E83" i="6"/>
  <c r="I83" i="6" s="1"/>
  <c r="E84" i="6"/>
  <c r="I84" i="6"/>
  <c r="E85" i="6"/>
  <c r="E86" i="6"/>
  <c r="E87" i="6"/>
  <c r="H87" i="6" s="1"/>
  <c r="I87" i="6"/>
  <c r="E88" i="6"/>
  <c r="E89" i="6"/>
  <c r="E90" i="6"/>
  <c r="E91" i="6"/>
  <c r="I91" i="6"/>
  <c r="H91" i="6" s="1"/>
  <c r="E92" i="6"/>
  <c r="E93" i="6"/>
  <c r="H93" i="6" s="1"/>
  <c r="I93" i="6"/>
  <c r="E94" i="6"/>
  <c r="E95" i="6"/>
  <c r="I95" i="6"/>
  <c r="H95" i="6" s="1"/>
  <c r="E96" i="6"/>
  <c r="I96" i="6" s="1"/>
  <c r="E97" i="6"/>
  <c r="E98" i="6"/>
  <c r="I98" i="6"/>
  <c r="E104" i="6"/>
  <c r="H104" i="6"/>
  <c r="E64" i="6"/>
  <c r="I64" i="6"/>
  <c r="I66" i="6" s="1"/>
  <c r="E106" i="6"/>
  <c r="H106" i="6" s="1"/>
  <c r="I37" i="6"/>
  <c r="G27" i="6"/>
  <c r="I39" i="6"/>
  <c r="C91" i="6"/>
  <c r="H50" i="6"/>
  <c r="B119" i="6"/>
  <c r="I17" i="6"/>
  <c r="C56" i="6"/>
  <c r="I70" i="6"/>
  <c r="E81" i="6"/>
  <c r="I81" i="6"/>
  <c r="D89" i="6"/>
  <c r="D90" i="6"/>
  <c r="D96" i="6"/>
  <c r="D97" i="6"/>
  <c r="K96" i="7"/>
  <c r="H47" i="23"/>
  <c r="K94" i="7"/>
  <c r="H46" i="23"/>
  <c r="K92" i="7"/>
  <c r="H45" i="23" s="1"/>
  <c r="K67" i="7"/>
  <c r="K58" i="7"/>
  <c r="K54" i="7"/>
  <c r="K32" i="7"/>
  <c r="H19" i="23" s="1"/>
  <c r="K90" i="7"/>
  <c r="K38" i="7"/>
  <c r="H22" i="23" s="1"/>
  <c r="K87" i="7"/>
  <c r="K30" i="7"/>
  <c r="H18" i="23" s="1"/>
  <c r="K34" i="7"/>
  <c r="K36" i="7"/>
  <c r="K40" i="7"/>
  <c r="K42" i="7"/>
  <c r="H24" i="23" s="1"/>
  <c r="K44" i="7"/>
  <c r="H25" i="23"/>
  <c r="K46" i="7"/>
  <c r="K69" i="7"/>
  <c r="H34" i="23" s="1"/>
  <c r="K77" i="7"/>
  <c r="K71" i="7"/>
  <c r="H35" i="23" s="1"/>
  <c r="K81" i="7"/>
  <c r="H40" i="23"/>
  <c r="K52" i="7"/>
  <c r="K26" i="7"/>
  <c r="H123" i="7"/>
  <c r="B123" i="7"/>
  <c r="B62" i="7"/>
  <c r="I65" i="8"/>
  <c r="H65" i="8"/>
  <c r="C65" i="8"/>
  <c r="D5" i="8"/>
  <c r="D15" i="8"/>
  <c r="D16" i="8"/>
  <c r="C91" i="10"/>
  <c r="C95" i="10"/>
  <c r="C94" i="10"/>
  <c r="C92" i="10"/>
  <c r="C90" i="10"/>
  <c r="C9" i="10"/>
  <c r="C16" i="10"/>
  <c r="C114" i="10"/>
  <c r="C19" i="10"/>
  <c r="C74" i="10"/>
  <c r="C112" i="10"/>
  <c r="C113" i="10"/>
  <c r="C110" i="10"/>
  <c r="C109" i="10"/>
  <c r="C96" i="10"/>
  <c r="C89" i="10"/>
  <c r="C87" i="10"/>
  <c r="C86" i="10"/>
  <c r="C85" i="10"/>
  <c r="C83" i="10"/>
  <c r="C82" i="10"/>
  <c r="C77" i="10"/>
  <c r="C69" i="10"/>
  <c r="C67" i="10"/>
  <c r="C66" i="10"/>
  <c r="C61" i="10"/>
  <c r="C59" i="10"/>
  <c r="C58" i="10"/>
  <c r="C55" i="10"/>
  <c r="C53" i="10"/>
  <c r="C35" i="10"/>
  <c r="C34" i="10"/>
  <c r="C33" i="10"/>
  <c r="C30" i="10"/>
  <c r="C28" i="10"/>
  <c r="C27" i="10"/>
  <c r="C26" i="10"/>
  <c r="C25" i="10"/>
  <c r="C24" i="10"/>
  <c r="C23" i="10"/>
  <c r="C18" i="10"/>
  <c r="C11" i="10"/>
  <c r="A9" i="10"/>
  <c r="C68" i="10"/>
  <c r="I36" i="9"/>
  <c r="I38" i="9"/>
  <c r="E33" i="9"/>
  <c r="E34" i="9"/>
  <c r="E35" i="9"/>
  <c r="E36" i="9"/>
  <c r="C65" i="11"/>
  <c r="D65" i="11" s="1"/>
  <c r="E65" i="11"/>
  <c r="F65" i="11" s="1"/>
  <c r="G65" i="11" s="1"/>
  <c r="B132" i="11" s="1"/>
  <c r="C132" i="11" s="1"/>
  <c r="D132" i="11" s="1"/>
  <c r="E132" i="11" s="1"/>
  <c r="F132" i="11" s="1"/>
  <c r="G132" i="11" s="1"/>
  <c r="B199" i="11" s="1"/>
  <c r="C199" i="11" s="1"/>
  <c r="D199" i="11" s="1"/>
  <c r="E199" i="11" s="1"/>
  <c r="F199" i="11" s="1"/>
  <c r="G199" i="11" s="1"/>
  <c r="B266" i="11" s="1"/>
  <c r="C266" i="11" s="1"/>
  <c r="D266" i="11" s="1"/>
  <c r="E266" i="11" s="1"/>
  <c r="F266" i="11" s="1"/>
  <c r="G266" i="11" s="1"/>
  <c r="B333" i="11" s="1"/>
  <c r="C333" i="11" s="1"/>
  <c r="D333" i="11" s="1"/>
  <c r="E333" i="11" s="1"/>
  <c r="F333" i="11" s="1"/>
  <c r="G333" i="11" s="1"/>
  <c r="B400" i="11" s="1"/>
  <c r="C400" i="11" s="1"/>
  <c r="D400" i="11" s="1"/>
  <c r="E400" i="11" s="1"/>
  <c r="F400" i="11" s="1"/>
  <c r="C64" i="11"/>
  <c r="D64" i="11" s="1"/>
  <c r="E64" i="11" s="1"/>
  <c r="F64" i="11" s="1"/>
  <c r="G64" i="11" s="1"/>
  <c r="B131" i="11" s="1"/>
  <c r="C131" i="11" s="1"/>
  <c r="D131" i="11" s="1"/>
  <c r="E131" i="11" s="1"/>
  <c r="F131" i="11" s="1"/>
  <c r="G131" i="11" s="1"/>
  <c r="B198" i="11" s="1"/>
  <c r="C198" i="11" s="1"/>
  <c r="D198" i="11" s="1"/>
  <c r="E198" i="11" s="1"/>
  <c r="F198" i="11" s="1"/>
  <c r="G198" i="11" s="1"/>
  <c r="B265" i="11" s="1"/>
  <c r="C265" i="11" s="1"/>
  <c r="D265" i="11" s="1"/>
  <c r="E265" i="11" s="1"/>
  <c r="F265" i="11" s="1"/>
  <c r="G265" i="11" s="1"/>
  <c r="B332" i="11" s="1"/>
  <c r="C332" i="11" s="1"/>
  <c r="D332" i="11" s="1"/>
  <c r="E332" i="11" s="1"/>
  <c r="F332" i="11" s="1"/>
  <c r="G332" i="11" s="1"/>
  <c r="B399" i="11" s="1"/>
  <c r="C399" i="11" s="1"/>
  <c r="D399" i="11" s="1"/>
  <c r="E399" i="11" s="1"/>
  <c r="F399" i="11" s="1"/>
  <c r="C63" i="11"/>
  <c r="D63" i="11" s="1"/>
  <c r="E63" i="11"/>
  <c r="F63" i="11" s="1"/>
  <c r="G63" i="11" s="1"/>
  <c r="B130" i="11" s="1"/>
  <c r="C130" i="11" s="1"/>
  <c r="D130" i="11" s="1"/>
  <c r="E130" i="11" s="1"/>
  <c r="F130" i="11" s="1"/>
  <c r="G130" i="11" s="1"/>
  <c r="B197" i="11" s="1"/>
  <c r="C197" i="11" s="1"/>
  <c r="D197" i="11" s="1"/>
  <c r="E197" i="11" s="1"/>
  <c r="F197" i="11" s="1"/>
  <c r="G197" i="11" s="1"/>
  <c r="B264" i="11" s="1"/>
  <c r="C264" i="11" s="1"/>
  <c r="D264" i="11" s="1"/>
  <c r="E264" i="11" s="1"/>
  <c r="F264" i="11" s="1"/>
  <c r="G264" i="11" s="1"/>
  <c r="B331" i="11" s="1"/>
  <c r="C331" i="11" s="1"/>
  <c r="D331" i="11" s="1"/>
  <c r="E331" i="11" s="1"/>
  <c r="F331" i="11" s="1"/>
  <c r="G331" i="11" s="1"/>
  <c r="B398" i="11" s="1"/>
  <c r="C398" i="11" s="1"/>
  <c r="D398" i="11" s="1"/>
  <c r="E398" i="11" s="1"/>
  <c r="F398" i="11" s="1"/>
  <c r="G354" i="11"/>
  <c r="B10" i="11"/>
  <c r="G356" i="11"/>
  <c r="G355" i="11"/>
  <c r="A1" i="11"/>
  <c r="A202" i="11" s="1"/>
  <c r="A402" i="11"/>
  <c r="F335" i="11"/>
  <c r="D335" i="11"/>
  <c r="A335" i="11"/>
  <c r="F268" i="11"/>
  <c r="D268" i="11"/>
  <c r="A268" i="11"/>
  <c r="A201" i="11"/>
  <c r="D134" i="11"/>
  <c r="A134" i="11"/>
  <c r="A67" i="11"/>
  <c r="G258" i="11"/>
  <c r="G232" i="11"/>
  <c r="B33" i="11"/>
  <c r="B34" i="11"/>
  <c r="G369" i="11" s="1"/>
  <c r="B35" i="11"/>
  <c r="B36" i="11"/>
  <c r="G371" i="11" s="1"/>
  <c r="B37" i="11"/>
  <c r="G372" i="11" s="1"/>
  <c r="B38" i="11"/>
  <c r="G373" i="11" s="1"/>
  <c r="B40" i="11"/>
  <c r="G375" i="11" s="1"/>
  <c r="B41" i="11"/>
  <c r="G376" i="11" s="1"/>
  <c r="B43" i="11"/>
  <c r="G378" i="11" s="1"/>
  <c r="B44" i="11"/>
  <c r="G379" i="11" s="1"/>
  <c r="B45" i="11"/>
  <c r="G380" i="11" s="1"/>
  <c r="B46" i="11"/>
  <c r="G381" i="11" s="1"/>
  <c r="B47" i="11"/>
  <c r="B48" i="11"/>
  <c r="G383" i="11"/>
  <c r="C57" i="11"/>
  <c r="C31" i="11"/>
  <c r="D31" i="11"/>
  <c r="D57" i="11"/>
  <c r="D58" i="11" s="1"/>
  <c r="E31" i="11"/>
  <c r="E58" i="11" s="1"/>
  <c r="E57" i="11"/>
  <c r="F31" i="11"/>
  <c r="F58" i="11"/>
  <c r="F57" i="11"/>
  <c r="G31" i="11"/>
  <c r="G57" i="11"/>
  <c r="B98" i="11"/>
  <c r="B124" i="11"/>
  <c r="C98" i="11"/>
  <c r="C125" i="11" s="1"/>
  <c r="C124" i="11"/>
  <c r="D98" i="11"/>
  <c r="D124" i="11"/>
  <c r="D125" i="11" s="1"/>
  <c r="E98" i="11"/>
  <c r="E125" i="11" s="1"/>
  <c r="E124" i="11"/>
  <c r="F98" i="11"/>
  <c r="F124" i="11"/>
  <c r="G98" i="11"/>
  <c r="G124" i="11"/>
  <c r="G125" i="11" s="1"/>
  <c r="B165" i="11"/>
  <c r="B192" i="11" s="1"/>
  <c r="B191" i="11"/>
  <c r="C165" i="11"/>
  <c r="C192" i="11" s="1"/>
  <c r="C191" i="11"/>
  <c r="D165" i="11"/>
  <c r="D191" i="11"/>
  <c r="E165" i="11"/>
  <c r="E192" i="11" s="1"/>
  <c r="E191" i="11"/>
  <c r="F165" i="11"/>
  <c r="F191" i="11"/>
  <c r="G165" i="11"/>
  <c r="G191" i="11"/>
  <c r="G192" i="11" s="1"/>
  <c r="B232" i="11"/>
  <c r="B258" i="11"/>
  <c r="B259" i="11" s="1"/>
  <c r="C232" i="11"/>
  <c r="C258" i="11"/>
  <c r="C259" i="11"/>
  <c r="D232" i="11"/>
  <c r="D259" i="11"/>
  <c r="D258" i="11"/>
  <c r="E232" i="11"/>
  <c r="E258" i="11"/>
  <c r="F232" i="11"/>
  <c r="F258" i="11"/>
  <c r="G219" i="11"/>
  <c r="G223" i="11" s="1"/>
  <c r="C18" i="11"/>
  <c r="C22" i="11" s="1"/>
  <c r="C23" i="11"/>
  <c r="D23" i="11" s="1"/>
  <c r="E23" i="11" s="1"/>
  <c r="D18" i="11"/>
  <c r="D22" i="11"/>
  <c r="E18" i="11"/>
  <c r="E22" i="11"/>
  <c r="F18" i="11"/>
  <c r="F22" i="11"/>
  <c r="G18" i="11"/>
  <c r="G22" i="11"/>
  <c r="B85" i="11"/>
  <c r="B89" i="11"/>
  <c r="C85" i="11"/>
  <c r="C89" i="11"/>
  <c r="D85" i="11"/>
  <c r="D89" i="11"/>
  <c r="E85" i="11"/>
  <c r="E89" i="11" s="1"/>
  <c r="F85" i="11"/>
  <c r="F89" i="11"/>
  <c r="G85" i="11"/>
  <c r="G89" i="11"/>
  <c r="B152" i="11"/>
  <c r="B156" i="11"/>
  <c r="C152" i="11"/>
  <c r="C156" i="11" s="1"/>
  <c r="D152" i="11"/>
  <c r="D156" i="11"/>
  <c r="E152" i="11"/>
  <c r="E156" i="11"/>
  <c r="F152" i="11"/>
  <c r="F156" i="11"/>
  <c r="G152" i="11"/>
  <c r="G156" i="11" s="1"/>
  <c r="B219" i="11"/>
  <c r="B223" i="11"/>
  <c r="C219" i="11"/>
  <c r="C223" i="11"/>
  <c r="D219" i="11"/>
  <c r="D223" i="11"/>
  <c r="E219" i="11"/>
  <c r="E223" i="11" s="1"/>
  <c r="F219" i="11"/>
  <c r="F223" i="11"/>
  <c r="F366" i="11"/>
  <c r="F393" i="11"/>
  <c r="F392" i="11"/>
  <c r="B50" i="11"/>
  <c r="G385" i="11"/>
  <c r="B51" i="11"/>
  <c r="G386" i="11" s="1"/>
  <c r="B52" i="11"/>
  <c r="G387" i="11" s="1"/>
  <c r="B53" i="11"/>
  <c r="G388" i="11"/>
  <c r="B54" i="11"/>
  <c r="G389" i="11" s="1"/>
  <c r="B55" i="11"/>
  <c r="G390" i="11"/>
  <c r="B56" i="11"/>
  <c r="G391" i="11" s="1"/>
  <c r="E366" i="11"/>
  <c r="E393" i="11" s="1"/>
  <c r="E392" i="11"/>
  <c r="D366" i="11"/>
  <c r="D393" i="11" s="1"/>
  <c r="D392" i="11"/>
  <c r="C366" i="11"/>
  <c r="C392" i="11"/>
  <c r="B366" i="11"/>
  <c r="B393" i="11"/>
  <c r="B392" i="11"/>
  <c r="B299" i="11"/>
  <c r="B325" i="11"/>
  <c r="C299" i="11"/>
  <c r="C326" i="11"/>
  <c r="C325" i="11"/>
  <c r="D299" i="11"/>
  <c r="D325" i="11"/>
  <c r="E299" i="11"/>
  <c r="E325" i="11"/>
  <c r="E326" i="11"/>
  <c r="F299" i="11"/>
  <c r="F326" i="11"/>
  <c r="F325" i="11"/>
  <c r="G299" i="11"/>
  <c r="G325" i="11"/>
  <c r="G370" i="11"/>
  <c r="G382" i="11"/>
  <c r="A52" i="11"/>
  <c r="A119" i="11"/>
  <c r="A51" i="11"/>
  <c r="B286" i="11"/>
  <c r="B290" i="11"/>
  <c r="C286" i="11"/>
  <c r="C290" i="11" s="1"/>
  <c r="D286" i="11"/>
  <c r="D290" i="11" s="1"/>
  <c r="E286" i="11"/>
  <c r="E290" i="11" s="1"/>
  <c r="F286" i="11"/>
  <c r="F290" i="11" s="1"/>
  <c r="G286" i="11"/>
  <c r="G290" i="11"/>
  <c r="B353" i="11"/>
  <c r="B357" i="11" s="1"/>
  <c r="C353" i="11"/>
  <c r="C357" i="11"/>
  <c r="D353" i="11"/>
  <c r="D357" i="11"/>
  <c r="E353" i="11"/>
  <c r="E357" i="11"/>
  <c r="F353" i="11"/>
  <c r="F357" i="11" s="1"/>
  <c r="G345" i="11"/>
  <c r="B11" i="11"/>
  <c r="B12" i="11"/>
  <c r="G347" i="11" s="1"/>
  <c r="B13" i="11"/>
  <c r="G348" i="11" s="1"/>
  <c r="B14" i="11"/>
  <c r="G349" i="11" s="1"/>
  <c r="B16" i="11"/>
  <c r="G351" i="11" s="1"/>
  <c r="B17" i="11"/>
  <c r="G352" i="11"/>
  <c r="B19" i="11"/>
  <c r="G139" i="24"/>
  <c r="G140" i="24"/>
  <c r="G141" i="24"/>
  <c r="G137" i="24"/>
  <c r="G138" i="24"/>
  <c r="G142" i="24" s="1"/>
  <c r="G192" i="24" s="1"/>
  <c r="G136" i="24"/>
  <c r="G128" i="24"/>
  <c r="G134" i="24" s="1"/>
  <c r="C192" i="24" s="1"/>
  <c r="G129" i="24"/>
  <c r="G130" i="24"/>
  <c r="G131" i="24"/>
  <c r="G132" i="24"/>
  <c r="G133" i="24"/>
  <c r="E125" i="24"/>
  <c r="G190" i="24"/>
  <c r="E117" i="24"/>
  <c r="C190" i="24" s="1"/>
  <c r="E109" i="24"/>
  <c r="C186" i="24" s="1"/>
  <c r="E103" i="24"/>
  <c r="C185" i="24"/>
  <c r="D97" i="24"/>
  <c r="G184" i="24" s="1"/>
  <c r="H89" i="24"/>
  <c r="C184" i="24"/>
  <c r="E82" i="24"/>
  <c r="G183" i="24" s="1"/>
  <c r="D82" i="24"/>
  <c r="C183" i="24" s="1"/>
  <c r="G73" i="24"/>
  <c r="G182" i="24"/>
  <c r="F73" i="24"/>
  <c r="C182" i="24"/>
  <c r="D67" i="24"/>
  <c r="G181" i="24" s="1"/>
  <c r="D61" i="24"/>
  <c r="C181" i="24"/>
  <c r="G48" i="24"/>
  <c r="G180" i="24"/>
  <c r="F48" i="24"/>
  <c r="C180" i="24" s="1"/>
  <c r="F41" i="24"/>
  <c r="G179" i="24" s="1"/>
  <c r="E41" i="24"/>
  <c r="C179" i="24" s="1"/>
  <c r="D34" i="24"/>
  <c r="G178" i="24" s="1"/>
  <c r="D27" i="24"/>
  <c r="C178" i="24"/>
  <c r="B9" i="24"/>
  <c r="C176" i="24" s="1"/>
  <c r="D18" i="24"/>
  <c r="C177" i="24"/>
  <c r="C9" i="24"/>
  <c r="G176" i="24"/>
  <c r="G18" i="24"/>
  <c r="G177" i="24"/>
  <c r="E158" i="24"/>
  <c r="C158" i="24"/>
  <c r="E142" i="24"/>
  <c r="C142" i="24"/>
  <c r="E134" i="24"/>
  <c r="C134" i="24"/>
  <c r="D109" i="24"/>
  <c r="D103" i="24"/>
  <c r="F89" i="24"/>
  <c r="B73" i="24"/>
  <c r="C67" i="24"/>
  <c r="C61" i="24"/>
  <c r="E51" i="24"/>
  <c r="E55" i="24" s="1"/>
  <c r="G51" i="24"/>
  <c r="E52" i="24"/>
  <c r="G52" i="24"/>
  <c r="E53" i="24"/>
  <c r="E54" i="24"/>
  <c r="G54" i="24"/>
  <c r="F55" i="24"/>
  <c r="D55" i="24"/>
  <c r="C55" i="24"/>
  <c r="F50" i="24"/>
  <c r="E48" i="24"/>
  <c r="D41" i="24"/>
  <c r="C34" i="24"/>
  <c r="E27" i="24"/>
  <c r="C27" i="24"/>
  <c r="C18" i="24"/>
  <c r="B27" i="21"/>
  <c r="B21" i="21"/>
  <c r="E1" i="21"/>
  <c r="H44" i="23"/>
  <c r="H43" i="23"/>
  <c r="H39" i="23"/>
  <c r="H38" i="23"/>
  <c r="H33" i="23"/>
  <c r="H32" i="23"/>
  <c r="H30" i="23"/>
  <c r="H29" i="23"/>
  <c r="H26" i="23"/>
  <c r="H23" i="23"/>
  <c r="H21" i="23"/>
  <c r="H20" i="23"/>
  <c r="H17" i="23"/>
  <c r="H16"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H15" i="23"/>
  <c r="H14" i="23"/>
  <c r="A15" i="23"/>
  <c r="A14" i="23"/>
  <c r="A10" i="23"/>
  <c r="A9" i="23"/>
  <c r="A8" i="23"/>
  <c r="A7" i="23"/>
  <c r="A6" i="23"/>
  <c r="A5" i="23"/>
  <c r="A4" i="23"/>
  <c r="A3" i="23"/>
  <c r="A2" i="23"/>
  <c r="B13" i="14"/>
  <c r="B1" i="14"/>
  <c r="A32" i="15"/>
  <c r="Y307" i="15"/>
  <c r="X307" i="15"/>
  <c r="W307" i="15"/>
  <c r="V307" i="15"/>
  <c r="Y306" i="15"/>
  <c r="X306" i="15"/>
  <c r="W306" i="15"/>
  <c r="V306" i="15"/>
  <c r="Y305" i="15"/>
  <c r="X305" i="15"/>
  <c r="W305" i="15"/>
  <c r="V305" i="15"/>
  <c r="Y304" i="15"/>
  <c r="X304" i="15"/>
  <c r="W304" i="15"/>
  <c r="V304" i="15"/>
  <c r="Y303" i="15"/>
  <c r="X303" i="15"/>
  <c r="W303" i="15"/>
  <c r="V303" i="15"/>
  <c r="Y293" i="15"/>
  <c r="X293" i="15"/>
  <c r="Y302" i="15"/>
  <c r="X302" i="15"/>
  <c r="W302" i="15"/>
  <c r="V302" i="15"/>
  <c r="Y301" i="15"/>
  <c r="X301" i="15"/>
  <c r="W301" i="15"/>
  <c r="V301" i="15"/>
  <c r="Y300" i="15"/>
  <c r="X300" i="15"/>
  <c r="W300" i="15"/>
  <c r="V300" i="15"/>
  <c r="Y299" i="15"/>
  <c r="X299" i="15"/>
  <c r="W299" i="15"/>
  <c r="V299" i="15"/>
  <c r="Y298" i="15"/>
  <c r="X298" i="15"/>
  <c r="W298" i="15"/>
  <c r="V298" i="15"/>
  <c r="Y297" i="15"/>
  <c r="X297" i="15"/>
  <c r="W297" i="15"/>
  <c r="V297" i="15"/>
  <c r="Y296" i="15"/>
  <c r="X296" i="15"/>
  <c r="W296" i="15"/>
  <c r="V296" i="15"/>
  <c r="Y295" i="15"/>
  <c r="X295" i="15"/>
  <c r="W295" i="15"/>
  <c r="V295" i="15"/>
  <c r="Y294" i="15"/>
  <c r="X294" i="15"/>
  <c r="W294" i="15"/>
  <c r="V294" i="15"/>
  <c r="W293" i="15"/>
  <c r="V293" i="15"/>
  <c r="H31" i="9"/>
  <c r="G47" i="9"/>
  <c r="G45" i="9"/>
  <c r="G44" i="9"/>
  <c r="G43" i="9"/>
  <c r="C72" i="9"/>
  <c r="D72" i="9"/>
  <c r="H72" i="9" s="1"/>
  <c r="C73" i="9"/>
  <c r="D73" i="9"/>
  <c r="H73" i="9" s="1"/>
  <c r="C74" i="9"/>
  <c r="D74" i="9"/>
  <c r="C75" i="9"/>
  <c r="D75" i="9"/>
  <c r="H75" i="9" s="1"/>
  <c r="E75" i="9"/>
  <c r="D76" i="9"/>
  <c r="H76" i="9" s="1"/>
  <c r="F76" i="9"/>
  <c r="C76" i="9"/>
  <c r="C71" i="9"/>
  <c r="D103" i="9"/>
  <c r="D95" i="9"/>
  <c r="G95" i="9"/>
  <c r="D87" i="9"/>
  <c r="I87" i="9" s="1"/>
  <c r="C17" i="9"/>
  <c r="C16" i="9"/>
  <c r="C15" i="9"/>
  <c r="C14" i="9"/>
  <c r="C13" i="9"/>
  <c r="C12" i="9"/>
  <c r="C108" i="9"/>
  <c r="C107" i="9"/>
  <c r="C106" i="9"/>
  <c r="C105" i="9"/>
  <c r="C104" i="9"/>
  <c r="C103" i="9"/>
  <c r="C100" i="9"/>
  <c r="C99" i="9"/>
  <c r="C98" i="9"/>
  <c r="C97" i="9"/>
  <c r="C96" i="9"/>
  <c r="C95" i="9"/>
  <c r="C92" i="9"/>
  <c r="C91" i="9"/>
  <c r="C90" i="9"/>
  <c r="C89" i="9"/>
  <c r="C88" i="9"/>
  <c r="C87" i="9"/>
  <c r="C84" i="9"/>
  <c r="C83" i="9"/>
  <c r="C82" i="9"/>
  <c r="C81" i="9"/>
  <c r="C80" i="9"/>
  <c r="C79" i="9"/>
  <c r="A323" i="9"/>
  <c r="C260" i="9"/>
  <c r="C197" i="9"/>
  <c r="C136" i="9"/>
  <c r="A94" i="9"/>
  <c r="F94" i="9"/>
  <c r="F15" i="9"/>
  <c r="I498" i="9"/>
  <c r="B498" i="9"/>
  <c r="I437" i="9"/>
  <c r="B437" i="9"/>
  <c r="G374" i="9"/>
  <c r="B374" i="9"/>
  <c r="G312" i="9"/>
  <c r="B312" i="9"/>
  <c r="I249" i="9"/>
  <c r="G249" i="9"/>
  <c r="B249" i="9"/>
  <c r="B186" i="9"/>
  <c r="G125" i="9"/>
  <c r="B125" i="9"/>
  <c r="I63" i="9"/>
  <c r="G63" i="9"/>
  <c r="B63" i="9"/>
  <c r="C472" i="9"/>
  <c r="B429" i="9"/>
  <c r="H428" i="9"/>
  <c r="B428" i="9"/>
  <c r="B427" i="9"/>
  <c r="C297" i="9"/>
  <c r="C234" i="9"/>
  <c r="C173" i="9"/>
  <c r="C172" i="9"/>
  <c r="C296" i="9" s="1"/>
  <c r="E173" i="9"/>
  <c r="F173" i="9"/>
  <c r="G173" i="9" s="1"/>
  <c r="H173" i="9" s="1"/>
  <c r="I173" i="9" s="1"/>
  <c r="E234" i="9" s="1"/>
  <c r="F234" i="9" s="1"/>
  <c r="G234" i="9" s="1"/>
  <c r="H234" i="9" s="1"/>
  <c r="I234" i="9" s="1"/>
  <c r="E297" i="9" s="1"/>
  <c r="F297" i="9" s="1"/>
  <c r="G297" i="9" s="1"/>
  <c r="H297" i="9" s="1"/>
  <c r="I297" i="9" s="1"/>
  <c r="D360" i="9" s="1"/>
  <c r="E360" i="9" s="1"/>
  <c r="F360" i="9" s="1"/>
  <c r="G360" i="9" s="1"/>
  <c r="H360" i="9" s="1"/>
  <c r="I360" i="9" s="1"/>
  <c r="E131" i="9"/>
  <c r="E145" i="9"/>
  <c r="F145" i="9" s="1"/>
  <c r="G145" i="9" s="1"/>
  <c r="H145" i="9" s="1"/>
  <c r="I145" i="9" s="1"/>
  <c r="E206" i="9"/>
  <c r="F206" i="9" s="1"/>
  <c r="G206" i="9" s="1"/>
  <c r="H206" i="9" s="1"/>
  <c r="I206" i="9" s="1"/>
  <c r="E269" i="9" s="1"/>
  <c r="F269" i="9" s="1"/>
  <c r="G269" i="9" s="1"/>
  <c r="H269" i="9"/>
  <c r="I269" i="9" s="1"/>
  <c r="D332" i="9" s="1"/>
  <c r="E332" i="9" s="1"/>
  <c r="F332" i="9" s="1"/>
  <c r="G332" i="9" s="1"/>
  <c r="H332" i="9" s="1"/>
  <c r="I332" i="9" s="1"/>
  <c r="E149" i="9"/>
  <c r="F149" i="9" s="1"/>
  <c r="G149" i="9" s="1"/>
  <c r="H149" i="9" s="1"/>
  <c r="I149" i="9" s="1"/>
  <c r="E210" i="9" s="1"/>
  <c r="F210" i="9" s="1"/>
  <c r="G210" i="9" s="1"/>
  <c r="H210" i="9" s="1"/>
  <c r="I210" i="9" s="1"/>
  <c r="E273" i="9" s="1"/>
  <c r="F273" i="9" s="1"/>
  <c r="G273" i="9" s="1"/>
  <c r="H273" i="9" s="1"/>
  <c r="I273" i="9" s="1"/>
  <c r="D336" i="9" s="1"/>
  <c r="E336" i="9" s="1"/>
  <c r="F336" i="9" s="1"/>
  <c r="G336" i="9" s="1"/>
  <c r="H336" i="9" s="1"/>
  <c r="I336" i="9" s="1"/>
  <c r="E146" i="9"/>
  <c r="F146" i="9"/>
  <c r="G146" i="9" s="1"/>
  <c r="H146" i="9" s="1"/>
  <c r="I146" i="9" s="1"/>
  <c r="E207" i="9" s="1"/>
  <c r="F207" i="9" s="1"/>
  <c r="G207" i="9" s="1"/>
  <c r="H207" i="9" s="1"/>
  <c r="I207" i="9" s="1"/>
  <c r="E270" i="9" s="1"/>
  <c r="F270" i="9" s="1"/>
  <c r="G270" i="9" s="1"/>
  <c r="H270" i="9" s="1"/>
  <c r="I270" i="9" s="1"/>
  <c r="D333" i="9" s="1"/>
  <c r="E333" i="9" s="1"/>
  <c r="F333" i="9" s="1"/>
  <c r="G333" i="9" s="1"/>
  <c r="H333" i="9" s="1"/>
  <c r="I333" i="9" s="1"/>
  <c r="E147" i="9"/>
  <c r="F147" i="9"/>
  <c r="G147" i="9" s="1"/>
  <c r="H147" i="9" s="1"/>
  <c r="I147" i="9" s="1"/>
  <c r="E208" i="9" s="1"/>
  <c r="F208" i="9" s="1"/>
  <c r="G208" i="9" s="1"/>
  <c r="H208" i="9" s="1"/>
  <c r="I208" i="9" s="1"/>
  <c r="E271" i="9" s="1"/>
  <c r="F271" i="9" s="1"/>
  <c r="G271" i="9" s="1"/>
  <c r="H271" i="9" s="1"/>
  <c r="I271" i="9" s="1"/>
  <c r="D334" i="9" s="1"/>
  <c r="E334" i="9" s="1"/>
  <c r="F334" i="9" s="1"/>
  <c r="G334" i="9" s="1"/>
  <c r="H334" i="9" s="1"/>
  <c r="I334" i="9" s="1"/>
  <c r="E148" i="9"/>
  <c r="F148" i="9"/>
  <c r="G148" i="9" s="1"/>
  <c r="H148" i="9" s="1"/>
  <c r="I148" i="9" s="1"/>
  <c r="E209" i="9" s="1"/>
  <c r="F209" i="9" s="1"/>
  <c r="G209" i="9" s="1"/>
  <c r="H209" i="9" s="1"/>
  <c r="I209" i="9"/>
  <c r="E272" i="9" s="1"/>
  <c r="F272" i="9" s="1"/>
  <c r="G272" i="9" s="1"/>
  <c r="H272" i="9" s="1"/>
  <c r="I272" i="9" s="1"/>
  <c r="D335" i="9" s="1"/>
  <c r="E335" i="9" s="1"/>
  <c r="F335" i="9"/>
  <c r="G335" i="9" s="1"/>
  <c r="H335" i="9" s="1"/>
  <c r="I335" i="9" s="1"/>
  <c r="E150" i="9"/>
  <c r="F150" i="9"/>
  <c r="G150" i="9"/>
  <c r="H150" i="9" s="1"/>
  <c r="I150" i="9"/>
  <c r="E211" i="9" s="1"/>
  <c r="F211" i="9" s="1"/>
  <c r="G211" i="9" s="1"/>
  <c r="H211" i="9" s="1"/>
  <c r="I211" i="9" s="1"/>
  <c r="E274" i="9" s="1"/>
  <c r="F274" i="9" s="1"/>
  <c r="G274" i="9"/>
  <c r="H274" i="9" s="1"/>
  <c r="I274" i="9" s="1"/>
  <c r="D337" i="9" s="1"/>
  <c r="E337" i="9" s="1"/>
  <c r="F337" i="9" s="1"/>
  <c r="G337" i="9" s="1"/>
  <c r="H337" i="9" s="1"/>
  <c r="I337" i="9" s="1"/>
  <c r="E151" i="9"/>
  <c r="F151" i="9"/>
  <c r="G151" i="9"/>
  <c r="H151" i="9" s="1"/>
  <c r="I151" i="9" s="1"/>
  <c r="E212" i="9" s="1"/>
  <c r="F212" i="9" s="1"/>
  <c r="G212" i="9" s="1"/>
  <c r="H212" i="9" s="1"/>
  <c r="I212" i="9" s="1"/>
  <c r="E275" i="9" s="1"/>
  <c r="F275" i="9" s="1"/>
  <c r="G275" i="9" s="1"/>
  <c r="H275" i="9" s="1"/>
  <c r="I275" i="9" s="1"/>
  <c r="D338" i="9" s="1"/>
  <c r="E338" i="9" s="1"/>
  <c r="F338" i="9" s="1"/>
  <c r="G338" i="9" s="1"/>
  <c r="H338" i="9" s="1"/>
  <c r="I338" i="9" s="1"/>
  <c r="E214" i="9"/>
  <c r="E215" i="9"/>
  <c r="E153" i="9"/>
  <c r="E154" i="9"/>
  <c r="E161" i="9"/>
  <c r="F161" i="9"/>
  <c r="G161" i="9" s="1"/>
  <c r="H161" i="9" s="1"/>
  <c r="I161" i="9" s="1"/>
  <c r="E222" i="9" s="1"/>
  <c r="F222" i="9" s="1"/>
  <c r="G222" i="9" s="1"/>
  <c r="H222" i="9" s="1"/>
  <c r="I222" i="9" s="1"/>
  <c r="E285" i="9" s="1"/>
  <c r="F285" i="9" s="1"/>
  <c r="G285" i="9" s="1"/>
  <c r="H285" i="9" s="1"/>
  <c r="I285" i="9" s="1"/>
  <c r="D348" i="9" s="1"/>
  <c r="E348" i="9" s="1"/>
  <c r="F348" i="9" s="1"/>
  <c r="G348" i="9" s="1"/>
  <c r="H348" i="9" s="1"/>
  <c r="I348" i="9" s="1"/>
  <c r="E162" i="9"/>
  <c r="F162" i="9"/>
  <c r="G162" i="9" s="1"/>
  <c r="H162" i="9" s="1"/>
  <c r="I162" i="9" s="1"/>
  <c r="E223" i="9" s="1"/>
  <c r="F223" i="9" s="1"/>
  <c r="G223" i="9" s="1"/>
  <c r="H223" i="9" s="1"/>
  <c r="I223" i="9" s="1"/>
  <c r="E286" i="9" s="1"/>
  <c r="F286" i="9" s="1"/>
  <c r="G286" i="9" s="1"/>
  <c r="H286" i="9" s="1"/>
  <c r="I286" i="9" s="1"/>
  <c r="D349" i="9" s="1"/>
  <c r="E349" i="9" s="1"/>
  <c r="F349" i="9" s="1"/>
  <c r="G349" i="9" s="1"/>
  <c r="H349" i="9" s="1"/>
  <c r="I349" i="9" s="1"/>
  <c r="E163" i="9"/>
  <c r="F163" i="9"/>
  <c r="G163" i="9"/>
  <c r="H163" i="9" s="1"/>
  <c r="I163" i="9" s="1"/>
  <c r="E224" i="9" s="1"/>
  <c r="F224" i="9" s="1"/>
  <c r="G224" i="9" s="1"/>
  <c r="H224" i="9" s="1"/>
  <c r="I224" i="9" s="1"/>
  <c r="E287" i="9" s="1"/>
  <c r="F287" i="9" s="1"/>
  <c r="G287" i="9" s="1"/>
  <c r="H287" i="9" s="1"/>
  <c r="I287" i="9" s="1"/>
  <c r="D350" i="9" s="1"/>
  <c r="E350" i="9" s="1"/>
  <c r="F350" i="9" s="1"/>
  <c r="G350" i="9" s="1"/>
  <c r="H350" i="9" s="1"/>
  <c r="I350" i="9" s="1"/>
  <c r="E164" i="9"/>
  <c r="F164" i="9"/>
  <c r="G164" i="9"/>
  <c r="H164" i="9" s="1"/>
  <c r="I164" i="9" s="1"/>
  <c r="E225" i="9" s="1"/>
  <c r="F225" i="9" s="1"/>
  <c r="G225" i="9"/>
  <c r="H225" i="9" s="1"/>
  <c r="I225" i="9" s="1"/>
  <c r="E288" i="9" s="1"/>
  <c r="F288" i="9" s="1"/>
  <c r="G288" i="9" s="1"/>
  <c r="H288" i="9" s="1"/>
  <c r="I288" i="9" s="1"/>
  <c r="D351" i="9" s="1"/>
  <c r="E351" i="9" s="1"/>
  <c r="F351" i="9" s="1"/>
  <c r="G351" i="9" s="1"/>
  <c r="H351" i="9" s="1"/>
  <c r="I351" i="9" s="1"/>
  <c r="E165" i="9"/>
  <c r="F165" i="9" s="1"/>
  <c r="G165" i="9"/>
  <c r="H165" i="9" s="1"/>
  <c r="I165" i="9" s="1"/>
  <c r="E226" i="9" s="1"/>
  <c r="F226" i="9" s="1"/>
  <c r="G226" i="9" s="1"/>
  <c r="H226" i="9" s="1"/>
  <c r="I226" i="9" s="1"/>
  <c r="E289" i="9"/>
  <c r="F289" i="9" s="1"/>
  <c r="G289" i="9" s="1"/>
  <c r="H289" i="9" s="1"/>
  <c r="I289" i="9" s="1"/>
  <c r="D352" i="9" s="1"/>
  <c r="E352" i="9" s="1"/>
  <c r="F352" i="9" s="1"/>
  <c r="G352" i="9" s="1"/>
  <c r="H352" i="9" s="1"/>
  <c r="I352" i="9" s="1"/>
  <c r="E168" i="9"/>
  <c r="F168" i="9" s="1"/>
  <c r="G168" i="9" s="1"/>
  <c r="H168" i="9" s="1"/>
  <c r="I168" i="9" s="1"/>
  <c r="E229" i="9"/>
  <c r="F229" i="9" s="1"/>
  <c r="G229" i="9" s="1"/>
  <c r="H229" i="9" s="1"/>
  <c r="I229" i="9" s="1"/>
  <c r="E292" i="9" s="1"/>
  <c r="F292" i="9" s="1"/>
  <c r="G292" i="9" s="1"/>
  <c r="H292" i="9"/>
  <c r="I292" i="9" s="1"/>
  <c r="D355" i="9" s="1"/>
  <c r="E355" i="9" s="1"/>
  <c r="F355" i="9" s="1"/>
  <c r="G355" i="9" s="1"/>
  <c r="H355" i="9" s="1"/>
  <c r="I355" i="9" s="1"/>
  <c r="E169" i="9"/>
  <c r="F169" i="9" s="1"/>
  <c r="G169" i="9" s="1"/>
  <c r="H169" i="9" s="1"/>
  <c r="I169" i="9" s="1"/>
  <c r="E230" i="9" s="1"/>
  <c r="F230" i="9" s="1"/>
  <c r="G230" i="9" s="1"/>
  <c r="H230" i="9" s="1"/>
  <c r="I230" i="9" s="1"/>
  <c r="E293" i="9" s="1"/>
  <c r="F293" i="9" s="1"/>
  <c r="G293" i="9" s="1"/>
  <c r="H293" i="9" s="1"/>
  <c r="I293" i="9" s="1"/>
  <c r="D356" i="9" s="1"/>
  <c r="E356" i="9" s="1"/>
  <c r="F356" i="9" s="1"/>
  <c r="G356" i="9" s="1"/>
  <c r="H356" i="9" s="1"/>
  <c r="I356" i="9" s="1"/>
  <c r="E171" i="9"/>
  <c r="F171" i="9"/>
  <c r="G171" i="9"/>
  <c r="H171" i="9" s="1"/>
  <c r="I171" i="9" s="1"/>
  <c r="E232" i="9" s="1"/>
  <c r="F232" i="9" s="1"/>
  <c r="G232" i="9"/>
  <c r="H232" i="9" s="1"/>
  <c r="I232" i="9" s="1"/>
  <c r="E295" i="9" s="1"/>
  <c r="F295" i="9" s="1"/>
  <c r="G295" i="9" s="1"/>
  <c r="H295" i="9" s="1"/>
  <c r="I295" i="9" s="1"/>
  <c r="D358" i="9"/>
  <c r="E358" i="9" s="1"/>
  <c r="F358" i="9" s="1"/>
  <c r="G358" i="9" s="1"/>
  <c r="H358" i="9" s="1"/>
  <c r="I358" i="9" s="1"/>
  <c r="H30" i="9"/>
  <c r="H29" i="9"/>
  <c r="H28" i="9"/>
  <c r="E30" i="9"/>
  <c r="E29" i="9"/>
  <c r="E19" i="9"/>
  <c r="E20" i="9"/>
  <c r="E28" i="9"/>
  <c r="H22" i="9"/>
  <c r="H21" i="9"/>
  <c r="D84" i="9"/>
  <c r="D82" i="9"/>
  <c r="D81" i="9"/>
  <c r="D80" i="9"/>
  <c r="G80" i="9" s="1"/>
  <c r="A1" i="9"/>
  <c r="C338" i="9"/>
  <c r="C337" i="9"/>
  <c r="C336" i="9"/>
  <c r="C335" i="9"/>
  <c r="C334" i="9"/>
  <c r="C333" i="9"/>
  <c r="D275" i="9"/>
  <c r="D274" i="9"/>
  <c r="D273" i="9"/>
  <c r="D272" i="9"/>
  <c r="D271" i="9"/>
  <c r="D270" i="9"/>
  <c r="D212" i="9"/>
  <c r="D211" i="9"/>
  <c r="D210" i="9"/>
  <c r="D209" i="9"/>
  <c r="D208" i="9"/>
  <c r="D207" i="9"/>
  <c r="D151" i="9"/>
  <c r="D150" i="9"/>
  <c r="D149" i="9"/>
  <c r="D148" i="9"/>
  <c r="D147" i="9"/>
  <c r="D146" i="9"/>
  <c r="H26" i="9"/>
  <c r="H25" i="9"/>
  <c r="H24" i="9"/>
  <c r="H27" i="9"/>
  <c r="H23" i="9"/>
  <c r="H20" i="9"/>
  <c r="H19" i="9"/>
  <c r="A360" i="9"/>
  <c r="E6" i="9"/>
  <c r="E7" i="9"/>
  <c r="E8" i="9"/>
  <c r="I12" i="9"/>
  <c r="D13" i="9"/>
  <c r="I13" i="9"/>
  <c r="D14" i="9"/>
  <c r="I14" i="9"/>
  <c r="D15" i="9"/>
  <c r="I15" i="9"/>
  <c r="D16" i="9"/>
  <c r="I16" i="9"/>
  <c r="D17" i="9"/>
  <c r="I43" i="9"/>
  <c r="I44" i="9"/>
  <c r="I45" i="9"/>
  <c r="I46" i="9"/>
  <c r="I47" i="9"/>
  <c r="I54" i="9"/>
  <c r="E55" i="9"/>
  <c r="E56" i="9"/>
  <c r="I57" i="9"/>
  <c r="F73" i="9"/>
  <c r="I73" i="9" s="1"/>
  <c r="G73" i="9"/>
  <c r="F75" i="9"/>
  <c r="I75" i="9"/>
  <c r="G75" i="9"/>
  <c r="E76" i="9"/>
  <c r="G76" i="9"/>
  <c r="I76" i="9"/>
  <c r="E80" i="9"/>
  <c r="E82" i="9"/>
  <c r="F82" i="9"/>
  <c r="G82" i="9"/>
  <c r="E87" i="9"/>
  <c r="F87" i="9"/>
  <c r="D88" i="9"/>
  <c r="F88" i="9"/>
  <c r="D89" i="9"/>
  <c r="E89" i="9"/>
  <c r="F89" i="9"/>
  <c r="I89" i="9" s="1"/>
  <c r="G89" i="9"/>
  <c r="D90" i="9"/>
  <c r="G90" i="9"/>
  <c r="E90" i="9"/>
  <c r="F90" i="9"/>
  <c r="D91" i="9"/>
  <c r="E91" i="9"/>
  <c r="F91" i="9"/>
  <c r="G91" i="9"/>
  <c r="D92" i="9"/>
  <c r="E92" i="9"/>
  <c r="E95" i="9"/>
  <c r="F95" i="9"/>
  <c r="D96" i="9"/>
  <c r="I96" i="9" s="1"/>
  <c r="G96" i="9"/>
  <c r="F96" i="9"/>
  <c r="E96" i="9"/>
  <c r="D97" i="9"/>
  <c r="E97" i="9"/>
  <c r="D98" i="9"/>
  <c r="G98" i="9"/>
  <c r="E98" i="9"/>
  <c r="F98" i="9"/>
  <c r="I98" i="9"/>
  <c r="D99" i="9"/>
  <c r="D100" i="9"/>
  <c r="D104" i="9"/>
  <c r="F104" i="9" s="1"/>
  <c r="I104" i="9" s="1"/>
  <c r="D105" i="9"/>
  <c r="D106" i="9"/>
  <c r="D107" i="9"/>
  <c r="F107" i="9"/>
  <c r="F153" i="9"/>
  <c r="G153" i="9"/>
  <c r="H153" i="9"/>
  <c r="I153" i="9"/>
  <c r="F154" i="9"/>
  <c r="G154" i="9"/>
  <c r="H154" i="9"/>
  <c r="I154" i="9"/>
  <c r="F214" i="9"/>
  <c r="G214" i="9"/>
  <c r="H214" i="9"/>
  <c r="I214" i="9"/>
  <c r="F215" i="9"/>
  <c r="G215" i="9"/>
  <c r="H215" i="9"/>
  <c r="I215" i="9"/>
  <c r="E277" i="9"/>
  <c r="F277" i="9"/>
  <c r="G277" i="9"/>
  <c r="H277" i="9"/>
  <c r="I277" i="9"/>
  <c r="E278" i="9"/>
  <c r="F278" i="9"/>
  <c r="G278" i="9"/>
  <c r="H278" i="9"/>
  <c r="I278" i="9"/>
  <c r="D340" i="9"/>
  <c r="E340" i="9"/>
  <c r="F340" i="9"/>
  <c r="G340" i="9"/>
  <c r="H340" i="9"/>
  <c r="I340" i="9"/>
  <c r="D341" i="9"/>
  <c r="E341" i="9"/>
  <c r="F341" i="9"/>
  <c r="G341" i="9"/>
  <c r="H341" i="9"/>
  <c r="I341" i="9"/>
  <c r="H382" i="9"/>
  <c r="E384" i="9"/>
  <c r="H384" i="9"/>
  <c r="E385" i="9"/>
  <c r="I385" i="9"/>
  <c r="G385" i="9"/>
  <c r="H385" i="9"/>
  <c r="E386" i="9"/>
  <c r="I386" i="9"/>
  <c r="H386" i="9"/>
  <c r="E387" i="9"/>
  <c r="G387" i="9"/>
  <c r="H387" i="9"/>
  <c r="I387" i="9"/>
  <c r="E388" i="9"/>
  <c r="H388" i="9"/>
  <c r="E389" i="9"/>
  <c r="G389" i="9"/>
  <c r="H389" i="9"/>
  <c r="I389" i="9"/>
  <c r="E390" i="9"/>
  <c r="H390" i="9"/>
  <c r="E391" i="9"/>
  <c r="G391" i="9"/>
  <c r="H391" i="9"/>
  <c r="I391" i="9"/>
  <c r="E392" i="9"/>
  <c r="H392" i="9"/>
  <c r="E393" i="9"/>
  <c r="H393" i="9"/>
  <c r="E394" i="9"/>
  <c r="H394" i="9"/>
  <c r="E395" i="9"/>
  <c r="I395" i="9"/>
  <c r="G395" i="9"/>
  <c r="H395" i="9"/>
  <c r="E396" i="9"/>
  <c r="G396" i="9"/>
  <c r="H396" i="9"/>
  <c r="I396" i="9"/>
  <c r="E398" i="9"/>
  <c r="I398" i="9"/>
  <c r="G398" i="9"/>
  <c r="H398" i="9"/>
  <c r="E399" i="9"/>
  <c r="G399" i="9"/>
  <c r="H399" i="9"/>
  <c r="I399" i="9"/>
  <c r="E400" i="9"/>
  <c r="G400" i="9"/>
  <c r="H400" i="9"/>
  <c r="E401" i="9"/>
  <c r="I401" i="9"/>
  <c r="G401" i="9"/>
  <c r="H401" i="9"/>
  <c r="E402" i="9"/>
  <c r="I402" i="9"/>
  <c r="G402" i="9"/>
  <c r="H402" i="9"/>
  <c r="E403" i="9"/>
  <c r="H403" i="9"/>
  <c r="E404" i="9"/>
  <c r="H404" i="9"/>
  <c r="E405" i="9"/>
  <c r="I405" i="9"/>
  <c r="G405" i="9"/>
  <c r="H405" i="9"/>
  <c r="E406" i="9"/>
  <c r="G406" i="9"/>
  <c r="H406" i="9"/>
  <c r="I406" i="9"/>
  <c r="E407" i="9"/>
  <c r="I407" i="9"/>
  <c r="G407" i="9"/>
  <c r="H407" i="9"/>
  <c r="E408" i="9"/>
  <c r="G408" i="9"/>
  <c r="H408" i="9"/>
  <c r="I408" i="9"/>
  <c r="E409" i="9"/>
  <c r="I409" i="9"/>
  <c r="H409" i="9"/>
  <c r="E410" i="9"/>
  <c r="I410" i="9"/>
  <c r="G410" i="9"/>
  <c r="E412" i="9"/>
  <c r="I412" i="9"/>
  <c r="H412" i="9"/>
  <c r="E413" i="9"/>
  <c r="I413" i="9"/>
  <c r="G413" i="9"/>
  <c r="H413" i="9"/>
  <c r="E415" i="9"/>
  <c r="G415" i="9"/>
  <c r="H415" i="9"/>
  <c r="I415" i="9"/>
  <c r="E416" i="9"/>
  <c r="I416" i="9"/>
  <c r="G416" i="9"/>
  <c r="H416" i="9"/>
  <c r="E417" i="9"/>
  <c r="G417" i="9"/>
  <c r="H417" i="9"/>
  <c r="I417" i="9"/>
  <c r="E418" i="9"/>
  <c r="G418" i="9"/>
  <c r="H418" i="9"/>
  <c r="E419" i="9"/>
  <c r="I419" i="9"/>
  <c r="G419" i="9"/>
  <c r="H419" i="9"/>
  <c r="E421" i="9"/>
  <c r="I421" i="9"/>
  <c r="G421" i="9"/>
  <c r="H421" i="9"/>
  <c r="E423" i="9"/>
  <c r="H423" i="9"/>
  <c r="E425" i="9"/>
  <c r="I425" i="9"/>
  <c r="G425" i="9"/>
  <c r="H425" i="9"/>
  <c r="E426" i="9"/>
  <c r="I426" i="9"/>
  <c r="G426" i="9"/>
  <c r="H426" i="9"/>
  <c r="E427" i="9"/>
  <c r="H427" i="9"/>
  <c r="E429" i="9"/>
  <c r="H429" i="9"/>
  <c r="H445" i="9"/>
  <c r="I445" i="9"/>
  <c r="H446" i="9"/>
  <c r="I446" i="9"/>
  <c r="H449" i="9"/>
  <c r="I449" i="9"/>
  <c r="H450" i="9"/>
  <c r="I450" i="9"/>
  <c r="H451" i="9"/>
  <c r="I451" i="9"/>
  <c r="E454" i="9"/>
  <c r="G454" i="9"/>
  <c r="H454" i="9"/>
  <c r="I454" i="9"/>
  <c r="E455" i="9"/>
  <c r="G455" i="9"/>
  <c r="H455" i="9"/>
  <c r="I455" i="9"/>
  <c r="E456" i="9"/>
  <c r="G456" i="9"/>
  <c r="H456" i="9"/>
  <c r="I456" i="9"/>
  <c r="E457" i="9"/>
  <c r="G457" i="9"/>
  <c r="H457" i="9"/>
  <c r="I457" i="9"/>
  <c r="E458" i="9"/>
  <c r="G458" i="9"/>
  <c r="H458" i="9"/>
  <c r="I458" i="9"/>
  <c r="E459" i="9"/>
  <c r="G459" i="9"/>
  <c r="H459" i="9"/>
  <c r="I459" i="9"/>
  <c r="E460" i="9"/>
  <c r="G460" i="9"/>
  <c r="H460" i="9"/>
  <c r="I460" i="9"/>
  <c r="E461" i="9"/>
  <c r="G461" i="9"/>
  <c r="H461" i="9"/>
  <c r="I461" i="9"/>
  <c r="E462" i="9"/>
  <c r="G462" i="9"/>
  <c r="H462" i="9"/>
  <c r="I462" i="9"/>
  <c r="E463" i="9"/>
  <c r="G463" i="9"/>
  <c r="H463" i="9"/>
  <c r="I463" i="9"/>
  <c r="E464" i="9"/>
  <c r="G464" i="9"/>
  <c r="H464" i="9"/>
  <c r="I464" i="9"/>
  <c r="E465" i="9"/>
  <c r="G465" i="9"/>
  <c r="H465" i="9"/>
  <c r="I465" i="9"/>
  <c r="E466" i="9"/>
  <c r="G466" i="9"/>
  <c r="H466" i="9"/>
  <c r="I466" i="9"/>
  <c r="E467" i="9"/>
  <c r="G467" i="9"/>
  <c r="H467" i="9"/>
  <c r="I467" i="9"/>
  <c r="E468" i="9"/>
  <c r="G468" i="9"/>
  <c r="H468" i="9"/>
  <c r="I468" i="9"/>
  <c r="E469" i="9"/>
  <c r="G469" i="9"/>
  <c r="H469" i="9"/>
  <c r="I469" i="9"/>
  <c r="D470" i="9"/>
  <c r="E470" i="9"/>
  <c r="G470" i="9"/>
  <c r="H470" i="9"/>
  <c r="I470" i="9"/>
  <c r="D471" i="9"/>
  <c r="E471" i="9"/>
  <c r="G471" i="9"/>
  <c r="H471" i="9"/>
  <c r="I471" i="9"/>
  <c r="H472" i="9"/>
  <c r="I472" i="9"/>
  <c r="E473" i="9"/>
  <c r="G473" i="9"/>
  <c r="H473" i="9"/>
  <c r="I473" i="9"/>
  <c r="E474" i="9"/>
  <c r="G474" i="9"/>
  <c r="H474" i="9"/>
  <c r="I474" i="9"/>
  <c r="E475" i="9"/>
  <c r="G475" i="9"/>
  <c r="H475" i="9"/>
  <c r="I475" i="9"/>
  <c r="E476" i="9"/>
  <c r="G476" i="9"/>
  <c r="H476" i="9"/>
  <c r="I476" i="9"/>
  <c r="D477" i="9"/>
  <c r="E477" i="9"/>
  <c r="G477" i="9"/>
  <c r="H477" i="9"/>
  <c r="I477" i="9"/>
  <c r="D478" i="9"/>
  <c r="E478" i="9"/>
  <c r="G478" i="9"/>
  <c r="H478" i="9"/>
  <c r="I478" i="9"/>
  <c r="E479" i="9"/>
  <c r="G479" i="9"/>
  <c r="H479" i="9"/>
  <c r="I479" i="9"/>
  <c r="H480" i="9"/>
  <c r="I480" i="9"/>
  <c r="E485" i="9"/>
  <c r="G485" i="9"/>
  <c r="H485" i="9"/>
  <c r="I485" i="9"/>
  <c r="E486" i="9"/>
  <c r="G486" i="9"/>
  <c r="H486" i="9"/>
  <c r="I486" i="9"/>
  <c r="E487" i="9"/>
  <c r="G487" i="9"/>
  <c r="H487" i="9"/>
  <c r="I487" i="9"/>
  <c r="I51" i="9"/>
  <c r="E382" i="9"/>
  <c r="G382" i="9"/>
  <c r="I382" i="9"/>
  <c r="E445" i="9"/>
  <c r="G445" i="9"/>
  <c r="E447" i="9"/>
  <c r="G447" i="9"/>
  <c r="E446" i="9"/>
  <c r="G446" i="9"/>
  <c r="E472" i="9"/>
  <c r="G472" i="9"/>
  <c r="E480" i="9"/>
  <c r="G480" i="9"/>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5" i="18"/>
  <c r="A6" i="18"/>
  <c r="A7" i="18"/>
  <c r="A8" i="18"/>
  <c r="A9" i="18"/>
  <c r="A10" i="18"/>
  <c r="A11" i="18"/>
  <c r="A12" i="18"/>
  <c r="A13" i="18"/>
  <c r="A4" i="18"/>
  <c r="F1" i="20"/>
  <c r="E106" i="9"/>
  <c r="F106" i="9"/>
  <c r="I106" i="9" s="1"/>
  <c r="G106" i="9"/>
  <c r="G100" i="9"/>
  <c r="H131" i="9"/>
  <c r="G131" i="9"/>
  <c r="I86" i="6"/>
  <c r="H86" i="6"/>
  <c r="I80" i="6"/>
  <c r="H80" i="6" s="1"/>
  <c r="G104" i="9"/>
  <c r="F80" i="9"/>
  <c r="E167" i="9"/>
  <c r="F167" i="9" s="1"/>
  <c r="G167" i="9" s="1"/>
  <c r="H167" i="9" s="1"/>
  <c r="I167" i="9" s="1"/>
  <c r="E228" i="9" s="1"/>
  <c r="F228" i="9" s="1"/>
  <c r="G228" i="9" s="1"/>
  <c r="H228" i="9"/>
  <c r="I228" i="9" s="1"/>
  <c r="E291" i="9" s="1"/>
  <c r="F291" i="9" s="1"/>
  <c r="G291" i="9" s="1"/>
  <c r="H291" i="9" s="1"/>
  <c r="I291" i="9" s="1"/>
  <c r="D354" i="9" s="1"/>
  <c r="E354" i="9" s="1"/>
  <c r="F354" i="9" s="1"/>
  <c r="G354" i="9" s="1"/>
  <c r="H354" i="9" s="1"/>
  <c r="I354" i="9" s="1"/>
  <c r="I259" i="5"/>
  <c r="I56" i="9"/>
  <c r="G412" i="9"/>
  <c r="I418" i="9"/>
  <c r="H410" i="9"/>
  <c r="F92" i="9"/>
  <c r="I92" i="9"/>
  <c r="G92" i="9"/>
  <c r="G403" i="9"/>
  <c r="I403" i="9"/>
  <c r="G53" i="24"/>
  <c r="I89" i="2"/>
  <c r="I72" i="2"/>
  <c r="F421" i="9" s="1"/>
  <c r="I79" i="2"/>
  <c r="G240" i="5"/>
  <c r="D12" i="9"/>
  <c r="D240" i="5"/>
  <c r="G423" i="9"/>
  <c r="I423" i="9"/>
  <c r="G386" i="9"/>
  <c r="E104" i="9"/>
  <c r="G368" i="11"/>
  <c r="H94" i="6"/>
  <c r="I94" i="6"/>
  <c r="B27" i="11"/>
  <c r="G362" i="11" s="1"/>
  <c r="F125" i="11"/>
  <c r="I88" i="6"/>
  <c r="H88" i="6" s="1"/>
  <c r="G409" i="9"/>
  <c r="I400" i="9"/>
  <c r="C233" i="9"/>
  <c r="A359" i="9"/>
  <c r="I97" i="6"/>
  <c r="H97" i="6" s="1"/>
  <c r="B15" i="11"/>
  <c r="G350" i="11" s="1"/>
  <c r="D326" i="11"/>
  <c r="J42" i="5"/>
  <c r="H96" i="6"/>
  <c r="L27" i="2"/>
  <c r="F259" i="11"/>
  <c r="B125" i="11"/>
  <c r="E221" i="5"/>
  <c r="H82" i="9"/>
  <c r="H221" i="5"/>
  <c r="H90" i="9" s="1"/>
  <c r="H55" i="3"/>
  <c r="H116" i="3"/>
  <c r="H125" i="2"/>
  <c r="H355" i="2"/>
  <c r="H186" i="2"/>
  <c r="H299" i="2"/>
  <c r="H243" i="2"/>
  <c r="J56" i="4"/>
  <c r="I56" i="6"/>
  <c r="I119" i="6"/>
  <c r="F134" i="11"/>
  <c r="I374" i="9"/>
  <c r="I312" i="9"/>
  <c r="F402" i="11"/>
  <c r="F67" i="11"/>
  <c r="I125" i="9"/>
  <c r="I53" i="5"/>
  <c r="H62" i="7"/>
  <c r="F201" i="11"/>
  <c r="K81" i="2"/>
  <c r="E166" i="9"/>
  <c r="F166" i="9"/>
  <c r="G166" i="9" s="1"/>
  <c r="H166" i="9" s="1"/>
  <c r="I166" i="9" s="1"/>
  <c r="E227" i="9" s="1"/>
  <c r="F227" i="9" s="1"/>
  <c r="G227" i="9" s="1"/>
  <c r="H227" i="9" s="1"/>
  <c r="I227" i="9" s="1"/>
  <c r="E290" i="9" s="1"/>
  <c r="F290" i="9" s="1"/>
  <c r="G290" i="9"/>
  <c r="H290" i="9" s="1"/>
  <c r="I290" i="9" s="1"/>
  <c r="D353" i="9" s="1"/>
  <c r="E353" i="9" s="1"/>
  <c r="F353" i="9" s="1"/>
  <c r="G353" i="9" s="1"/>
  <c r="H353" i="9" s="1"/>
  <c r="I353" i="9" s="1"/>
  <c r="H85" i="6"/>
  <c r="I85" i="6"/>
  <c r="H76" i="6"/>
  <c r="C13" i="10"/>
  <c r="C93" i="10"/>
  <c r="I90" i="9"/>
  <c r="B326" i="11"/>
  <c r="D192" i="11"/>
  <c r="C88" i="10"/>
  <c r="E162" i="4"/>
  <c r="E153" i="5"/>
  <c r="F243" i="5"/>
  <c r="I243" i="5"/>
  <c r="I89" i="6"/>
  <c r="H89" i="6"/>
  <c r="H84" i="6"/>
  <c r="H75" i="6"/>
  <c r="H161" i="4"/>
  <c r="AO18" i="4"/>
  <c r="BB18" i="4"/>
  <c r="U19" i="4"/>
  <c r="T18" i="4"/>
  <c r="T19" i="4" s="1"/>
  <c r="T20" i="4" s="1"/>
  <c r="T21" i="4" s="1"/>
  <c r="T22" i="4" s="1"/>
  <c r="T23" i="4"/>
  <c r="T24" i="4" s="1"/>
  <c r="T25" i="4" s="1"/>
  <c r="T26" i="4" s="1"/>
  <c r="T27" i="4" s="1"/>
  <c r="T28" i="4" s="1"/>
  <c r="T29" i="4" s="1"/>
  <c r="T30" i="4" s="1"/>
  <c r="T31" i="4" s="1"/>
  <c r="T32" i="4" s="1"/>
  <c r="T33" i="4" s="1"/>
  <c r="T34" i="4" s="1"/>
  <c r="T35" i="4" s="1"/>
  <c r="T36" i="4" s="1"/>
  <c r="T37" i="4" s="1"/>
  <c r="T38" i="4" s="1"/>
  <c r="T39" i="4" s="1"/>
  <c r="T40" i="4" s="1"/>
  <c r="T41" i="4" s="1"/>
  <c r="T42" i="4" s="1"/>
  <c r="T43" i="4" s="1"/>
  <c r="T44" i="4" s="1"/>
  <c r="T45" i="4" s="1"/>
  <c r="T46" i="4" s="1"/>
  <c r="T47" i="4" s="1"/>
  <c r="T48" i="4" s="1"/>
  <c r="T49" i="4" s="1"/>
  <c r="T50" i="4" s="1"/>
  <c r="T51" i="4" s="1"/>
  <c r="T52" i="4" s="1"/>
  <c r="T53" i="4" s="1"/>
  <c r="T54" i="4" s="1"/>
  <c r="T55" i="4" s="1"/>
  <c r="T56" i="4" s="1"/>
  <c r="T57" i="4" s="1"/>
  <c r="T58" i="4" s="1"/>
  <c r="BF19" i="4"/>
  <c r="AB18" i="4"/>
  <c r="AD18" i="4"/>
  <c r="C205" i="4"/>
  <c r="C76" i="10" s="1"/>
  <c r="K90" i="2"/>
  <c r="BQ19" i="4"/>
  <c r="F222" i="2"/>
  <c r="G355" i="2"/>
  <c r="G55" i="3"/>
  <c r="G243" i="2"/>
  <c r="G125" i="2"/>
  <c r="G299" i="2"/>
  <c r="BP19" i="4"/>
  <c r="BU19" i="4" s="1"/>
  <c r="BT19" i="4"/>
  <c r="G48" i="9"/>
  <c r="F400" i="9"/>
  <c r="F426" i="9"/>
  <c r="C12" i="10"/>
  <c r="F407" i="9"/>
  <c r="F454" i="9"/>
  <c r="F406" i="9"/>
  <c r="F425" i="9"/>
  <c r="F417" i="9"/>
  <c r="BA20" i="4"/>
  <c r="H176" i="3"/>
  <c r="P20" i="4"/>
  <c r="I289" i="5"/>
  <c r="I234" i="5"/>
  <c r="I180" i="5"/>
  <c r="I121" i="5"/>
  <c r="J122" i="4"/>
  <c r="J237" i="4"/>
  <c r="J176" i="4"/>
  <c r="I240" i="5"/>
  <c r="F240" i="5"/>
  <c r="A118" i="11"/>
  <c r="A185" i="11"/>
  <c r="A252" i="11"/>
  <c r="I429" i="9"/>
  <c r="G429" i="9"/>
  <c r="E72" i="9"/>
  <c r="G72" i="9"/>
  <c r="F72" i="9"/>
  <c r="I72" i="9" s="1"/>
  <c r="C71" i="10"/>
  <c r="I35" i="9"/>
  <c r="BD18" i="4"/>
  <c r="BG18" i="4" s="1"/>
  <c r="BE18" i="4"/>
  <c r="BE19" i="4" s="1"/>
  <c r="BE20" i="4" s="1"/>
  <c r="BE21" i="4" s="1"/>
  <c r="BE22" i="4" s="1"/>
  <c r="BE23" i="4" s="1"/>
  <c r="BE24" i="4"/>
  <c r="BE25" i="4"/>
  <c r="BE26" i="4" s="1"/>
  <c r="BE27" i="4" s="1"/>
  <c r="BE28" i="4" s="1"/>
  <c r="BE29" i="4" s="1"/>
  <c r="BE30" i="4" s="1"/>
  <c r="BE31" i="4" s="1"/>
  <c r="BE32" i="4" s="1"/>
  <c r="BE33" i="4" s="1"/>
  <c r="BE34" i="4" s="1"/>
  <c r="BE35" i="4" s="1"/>
  <c r="BE36" i="4" s="1"/>
  <c r="BE37" i="4" s="1"/>
  <c r="BE38" i="4" s="1"/>
  <c r="BE39" i="4" s="1"/>
  <c r="BE40" i="4"/>
  <c r="BE41" i="4" s="1"/>
  <c r="BE42" i="4" s="1"/>
  <c r="BE43" i="4" s="1"/>
  <c r="BE44" i="4" s="1"/>
  <c r="BE45" i="4" s="1"/>
  <c r="BE46" i="4" s="1"/>
  <c r="BE47" i="4" s="1"/>
  <c r="BE48" i="4" s="1"/>
  <c r="BE49" i="4" s="1"/>
  <c r="BE50" i="4" s="1"/>
  <c r="BE51" i="4" s="1"/>
  <c r="BE52" i="4" s="1"/>
  <c r="BE53" i="4" s="1"/>
  <c r="BE54" i="4" s="1"/>
  <c r="BE55" i="4" s="1"/>
  <c r="BE56" i="4" s="1"/>
  <c r="BE57" i="4" s="1"/>
  <c r="BE58" i="4" s="1"/>
  <c r="I404" i="9"/>
  <c r="G404" i="9"/>
  <c r="F404" i="9"/>
  <c r="I392" i="9"/>
  <c r="G392" i="9"/>
  <c r="G384" i="9"/>
  <c r="I384" i="9"/>
  <c r="F103" i="9"/>
  <c r="I103" i="9" s="1"/>
  <c r="E103" i="9"/>
  <c r="G103" i="9"/>
  <c r="E99" i="9"/>
  <c r="G99" i="9"/>
  <c r="F99" i="9"/>
  <c r="I99" i="9" s="1"/>
  <c r="AP18" i="4"/>
  <c r="AU18" i="4" s="1"/>
  <c r="AT18" i="4"/>
  <c r="A33" i="2"/>
  <c r="A10" i="10"/>
  <c r="F401" i="9"/>
  <c r="F477" i="9"/>
  <c r="F393" i="9"/>
  <c r="F487" i="9"/>
  <c r="F459" i="9"/>
  <c r="F386" i="9"/>
  <c r="F398" i="9"/>
  <c r="F457" i="9"/>
  <c r="F408" i="9"/>
  <c r="F415" i="9"/>
  <c r="F458" i="9"/>
  <c r="F466" i="9"/>
  <c r="F472" i="9"/>
  <c r="F462" i="9"/>
  <c r="F382" i="9"/>
  <c r="F419" i="9"/>
  <c r="F456" i="9"/>
  <c r="F474" i="9"/>
  <c r="F467" i="9"/>
  <c r="F460" i="9"/>
  <c r="H8" i="6"/>
  <c r="E9" i="6"/>
  <c r="F485" i="9"/>
  <c r="F396" i="9"/>
  <c r="F473" i="9"/>
  <c r="F476" i="9"/>
  <c r="F399" i="9"/>
  <c r="F446" i="9"/>
  <c r="F405" i="9"/>
  <c r="F480" i="9"/>
  <c r="F475" i="9"/>
  <c r="F479" i="9"/>
  <c r="F395" i="9"/>
  <c r="F392" i="9"/>
  <c r="I48" i="9"/>
  <c r="F402" i="9"/>
  <c r="F455" i="9"/>
  <c r="F478" i="9"/>
  <c r="F471" i="9"/>
  <c r="E10" i="9"/>
  <c r="F390" i="9"/>
  <c r="F387" i="9"/>
  <c r="F391" i="9"/>
  <c r="F447" i="9"/>
  <c r="F413" i="9"/>
  <c r="F423" i="9"/>
  <c r="I80" i="9"/>
  <c r="G394" i="9"/>
  <c r="I394" i="9"/>
  <c r="G388" i="9"/>
  <c r="I388" i="9"/>
  <c r="J20" i="5"/>
  <c r="E44" i="9"/>
  <c r="D83" i="9"/>
  <c r="G83" i="9" s="1"/>
  <c r="AG19" i="4"/>
  <c r="AB19" i="4"/>
  <c r="AH19" i="4" s="1"/>
  <c r="I179" i="2"/>
  <c r="C20" i="10"/>
  <c r="D51" i="5"/>
  <c r="K80" i="2"/>
  <c r="BB20" i="4"/>
  <c r="F468" i="9"/>
  <c r="F385" i="9"/>
  <c r="F465" i="9"/>
  <c r="AE19" i="4"/>
  <c r="I427" i="9"/>
  <c r="G427" i="9"/>
  <c r="E105" i="9"/>
  <c r="F105" i="9"/>
  <c r="I105" i="9" s="1"/>
  <c r="G105" i="9"/>
  <c r="G58" i="11"/>
  <c r="E136" i="2"/>
  <c r="C17" i="10"/>
  <c r="I92" i="6"/>
  <c r="H92" i="6"/>
  <c r="F218" i="5"/>
  <c r="I218" i="5"/>
  <c r="D218" i="5"/>
  <c r="G218" i="5" s="1"/>
  <c r="F81" i="9"/>
  <c r="I81" i="9"/>
  <c r="E81" i="9"/>
  <c r="G81" i="9"/>
  <c r="G346" i="11"/>
  <c r="G353" i="11" s="1"/>
  <c r="G357" i="11" s="1"/>
  <c r="B18" i="11"/>
  <c r="B22" i="11" s="1"/>
  <c r="J45" i="5"/>
  <c r="D108" i="9"/>
  <c r="G164" i="4"/>
  <c r="H482" i="9" s="1"/>
  <c r="H447" i="9"/>
  <c r="I447" i="9"/>
  <c r="BF20" i="4"/>
  <c r="BD20" i="4"/>
  <c r="BC20" i="4" s="1"/>
  <c r="I393" i="9"/>
  <c r="G393" i="9"/>
  <c r="G390" i="9"/>
  <c r="I390" i="9"/>
  <c r="E100" i="9"/>
  <c r="F100" i="9"/>
  <c r="I100" i="9"/>
  <c r="I91" i="9"/>
  <c r="C188" i="24"/>
  <c r="E139" i="5"/>
  <c r="E159" i="9" s="1"/>
  <c r="C50" i="10"/>
  <c r="C49" i="10"/>
  <c r="I33" i="9"/>
  <c r="F131" i="9"/>
  <c r="I131" i="9"/>
  <c r="E192" i="9" s="1"/>
  <c r="F192" i="9" s="1"/>
  <c r="G192" i="9" s="1"/>
  <c r="H192" i="9" s="1"/>
  <c r="I192" i="9" s="1"/>
  <c r="E255" i="9" s="1"/>
  <c r="F255" i="9" s="1"/>
  <c r="G255" i="9" s="1"/>
  <c r="H255" i="9" s="1"/>
  <c r="I255" i="9" s="1"/>
  <c r="D318" i="9" s="1"/>
  <c r="E318" i="9" s="1"/>
  <c r="F318" i="9" s="1"/>
  <c r="G318" i="9" s="1"/>
  <c r="H318" i="9" s="1"/>
  <c r="I318" i="9" s="1"/>
  <c r="G55" i="24"/>
  <c r="G185" i="24"/>
  <c r="G40" i="6"/>
  <c r="E136" i="9"/>
  <c r="F136" i="9"/>
  <c r="G136" i="9" s="1"/>
  <c r="H136" i="9" s="1"/>
  <c r="I136" i="9" s="1"/>
  <c r="E197" i="9" s="1"/>
  <c r="F197" i="9" s="1"/>
  <c r="G197" i="9" s="1"/>
  <c r="H197" i="9" s="1"/>
  <c r="I197" i="9" s="1"/>
  <c r="E260" i="9" s="1"/>
  <c r="F260" i="9" s="1"/>
  <c r="G260" i="9" s="1"/>
  <c r="H260" i="9" s="1"/>
  <c r="I260" i="9" s="1"/>
  <c r="D323" i="9" s="1"/>
  <c r="E323" i="9" s="1"/>
  <c r="F323" i="9" s="1"/>
  <c r="G323" i="9" s="1"/>
  <c r="H323" i="9" s="1"/>
  <c r="I323" i="9" s="1"/>
  <c r="E46" i="9"/>
  <c r="E88" i="9"/>
  <c r="I88" i="9"/>
  <c r="G88" i="9"/>
  <c r="F23" i="11"/>
  <c r="G23" i="11" s="1"/>
  <c r="B90" i="11" s="1"/>
  <c r="C90" i="11" s="1"/>
  <c r="D90" i="11" s="1"/>
  <c r="E90" i="11"/>
  <c r="F90" i="11" s="1"/>
  <c r="G90" i="11" s="1"/>
  <c r="B157" i="11" s="1"/>
  <c r="C157" i="11" s="1"/>
  <c r="D157" i="11" s="1"/>
  <c r="E157" i="11" s="1"/>
  <c r="F157" i="11" s="1"/>
  <c r="G157" i="11" s="1"/>
  <c r="B224" i="11" s="1"/>
  <c r="C224" i="11" s="1"/>
  <c r="D224" i="11" s="1"/>
  <c r="E224" i="11" s="1"/>
  <c r="F224" i="11" s="1"/>
  <c r="G224" i="11" s="1"/>
  <c r="B291" i="11" s="1"/>
  <c r="C291" i="11" s="1"/>
  <c r="D291" i="11" s="1"/>
  <c r="E291" i="11" s="1"/>
  <c r="F291" i="11" s="1"/>
  <c r="G291" i="11" s="1"/>
  <c r="B358" i="11" s="1"/>
  <c r="C358" i="11" s="1"/>
  <c r="D358" i="11" s="1"/>
  <c r="E358" i="11" s="1"/>
  <c r="F358" i="11" s="1"/>
  <c r="C58" i="11"/>
  <c r="C59" i="11" s="1"/>
  <c r="J41" i="5"/>
  <c r="E137" i="9" s="1"/>
  <c r="F137" i="9" s="1"/>
  <c r="G137" i="9" s="1"/>
  <c r="H137" i="9" s="1"/>
  <c r="I137" i="9" s="1"/>
  <c r="E198" i="9" s="1"/>
  <c r="F198" i="9" s="1"/>
  <c r="G198" i="9" s="1"/>
  <c r="H198" i="9" s="1"/>
  <c r="I198" i="9" s="1"/>
  <c r="E261" i="9" s="1"/>
  <c r="F261" i="9" s="1"/>
  <c r="G261" i="9" s="1"/>
  <c r="H261" i="9" s="1"/>
  <c r="I261" i="9" s="1"/>
  <c r="D324" i="9" s="1"/>
  <c r="E324" i="9" s="1"/>
  <c r="F324" i="9" s="1"/>
  <c r="G324" i="9" s="1"/>
  <c r="H324" i="9" s="1"/>
  <c r="I324" i="9" s="1"/>
  <c r="J25" i="5"/>
  <c r="E135" i="9" s="1"/>
  <c r="E45" i="9"/>
  <c r="J16" i="5"/>
  <c r="D79" i="9"/>
  <c r="F79" i="9" s="1"/>
  <c r="F97" i="9"/>
  <c r="I97" i="9" s="1"/>
  <c r="G97" i="9"/>
  <c r="G84" i="9"/>
  <c r="E84" i="9"/>
  <c r="F84" i="9"/>
  <c r="I84" i="9"/>
  <c r="H84" i="9"/>
  <c r="F223" i="5"/>
  <c r="I223" i="5" s="1"/>
  <c r="H100" i="9" s="1"/>
  <c r="C36" i="10"/>
  <c r="F116" i="4"/>
  <c r="BN18" i="4"/>
  <c r="BU15" i="4"/>
  <c r="K89" i="2"/>
  <c r="K92" i="2"/>
  <c r="K94" i="2"/>
  <c r="I82" i="9"/>
  <c r="I253" i="5"/>
  <c r="E158" i="9"/>
  <c r="C31" i="10"/>
  <c r="F43" i="4"/>
  <c r="E37" i="9"/>
  <c r="E38" i="9" s="1"/>
  <c r="AF18" i="4"/>
  <c r="AF19" i="4" s="1"/>
  <c r="AF20" i="4"/>
  <c r="AF21" i="4" s="1"/>
  <c r="AF22" i="4" s="1"/>
  <c r="AF23" i="4" s="1"/>
  <c r="AF24" i="4" s="1"/>
  <c r="AF25" i="4" s="1"/>
  <c r="AF26" i="4" s="1"/>
  <c r="AF27" i="4" s="1"/>
  <c r="AF28" i="4" s="1"/>
  <c r="AF29" i="4" s="1"/>
  <c r="AF30" i="4" s="1"/>
  <c r="AF31" i="4" s="1"/>
  <c r="AF32" i="4" s="1"/>
  <c r="AF33" i="4" s="1"/>
  <c r="AF34" i="4" s="1"/>
  <c r="AF35" i="4" s="1"/>
  <c r="AF36" i="4" s="1"/>
  <c r="AF37" i="4" s="1"/>
  <c r="AF38" i="4" s="1"/>
  <c r="AF39" i="4" s="1"/>
  <c r="AF40" i="4" s="1"/>
  <c r="AF41" i="4" s="1"/>
  <c r="AF42" i="4" s="1"/>
  <c r="AF43" i="4" s="1"/>
  <c r="AF44" i="4" s="1"/>
  <c r="AF45" i="4" s="1"/>
  <c r="AF46" i="4" s="1"/>
  <c r="AF47" i="4" s="1"/>
  <c r="AF48" i="4" s="1"/>
  <c r="AF49" i="4" s="1"/>
  <c r="AF50" i="4" s="1"/>
  <c r="AF51" i="4" s="1"/>
  <c r="AF52" i="4" s="1"/>
  <c r="AF53" i="4" s="1"/>
  <c r="AF54" i="4" s="1"/>
  <c r="AF55" i="4" s="1"/>
  <c r="AF56" i="4" s="1"/>
  <c r="AF57" i="4" s="1"/>
  <c r="AF58" i="4" s="1"/>
  <c r="AE13" i="4"/>
  <c r="AE14" i="4"/>
  <c r="I83" i="2"/>
  <c r="I93" i="2"/>
  <c r="G244" i="5"/>
  <c r="I95" i="9"/>
  <c r="I90" i="6"/>
  <c r="H90" i="6"/>
  <c r="H74" i="6"/>
  <c r="J8" i="5"/>
  <c r="D71" i="9"/>
  <c r="F244" i="5"/>
  <c r="I244" i="5"/>
  <c r="G123" i="7"/>
  <c r="D67" i="11"/>
  <c r="G62" i="7"/>
  <c r="H56" i="4"/>
  <c r="G498" i="9"/>
  <c r="H56" i="6"/>
  <c r="H119" i="6" s="1"/>
  <c r="G437" i="9"/>
  <c r="H53" i="5"/>
  <c r="D402" i="11"/>
  <c r="D201" i="11"/>
  <c r="G186" i="9"/>
  <c r="I90" i="2"/>
  <c r="D241" i="5"/>
  <c r="G241" i="5"/>
  <c r="I80" i="2"/>
  <c r="G326" i="11"/>
  <c r="G203" i="5"/>
  <c r="C393" i="11"/>
  <c r="E259" i="11"/>
  <c r="C70" i="10"/>
  <c r="C60" i="10"/>
  <c r="B42" i="11"/>
  <c r="G377" i="11" s="1"/>
  <c r="A186" i="11"/>
  <c r="A253" i="11"/>
  <c r="H98" i="6"/>
  <c r="I78" i="6"/>
  <c r="H78" i="6" s="1"/>
  <c r="C57" i="10"/>
  <c r="B39" i="11"/>
  <c r="B57" i="11" s="1"/>
  <c r="G78" i="2"/>
  <c r="C46" i="9" s="1"/>
  <c r="C78" i="5"/>
  <c r="C31" i="5"/>
  <c r="G88" i="2"/>
  <c r="C70" i="5"/>
  <c r="T13" i="4"/>
  <c r="T14" i="4"/>
  <c r="P18" i="4"/>
  <c r="V18" i="4" s="1"/>
  <c r="AS19" i="4"/>
  <c r="AN19" i="4"/>
  <c r="H82" i="6"/>
  <c r="E220" i="5"/>
  <c r="H220" i="5"/>
  <c r="H89" i="9" s="1"/>
  <c r="D220" i="5"/>
  <c r="G220" i="5" s="1"/>
  <c r="K56" i="7"/>
  <c r="H31" i="23" s="1"/>
  <c r="K83" i="7"/>
  <c r="H41" i="23" s="1"/>
  <c r="K48" i="7"/>
  <c r="H27" i="23" s="1"/>
  <c r="K73" i="7"/>
  <c r="H36" i="23" s="1"/>
  <c r="K85" i="7"/>
  <c r="H42" i="23" s="1"/>
  <c r="K50" i="7"/>
  <c r="H28" i="23" s="1"/>
  <c r="K75" i="7"/>
  <c r="H37" i="23"/>
  <c r="I120" i="4"/>
  <c r="H144" i="2"/>
  <c r="E165" i="5"/>
  <c r="BD13" i="4"/>
  <c r="BD14" i="4"/>
  <c r="AI15" i="4"/>
  <c r="C22" i="10"/>
  <c r="I258" i="5"/>
  <c r="I55" i="9"/>
  <c r="H237" i="4"/>
  <c r="H51" i="5"/>
  <c r="E53" i="9" s="1"/>
  <c r="C84" i="10"/>
  <c r="D59" i="11"/>
  <c r="E59" i="11" s="1"/>
  <c r="F59" i="11" s="1"/>
  <c r="G59" i="11" s="1"/>
  <c r="B126" i="11" s="1"/>
  <c r="C126" i="11" s="1"/>
  <c r="D126" i="11" s="1"/>
  <c r="E126" i="11" s="1"/>
  <c r="F126" i="11" s="1"/>
  <c r="G126" i="11" s="1"/>
  <c r="B193" i="11" s="1"/>
  <c r="C193" i="11" s="1"/>
  <c r="D193" i="11"/>
  <c r="E193" i="11" s="1"/>
  <c r="E79" i="9"/>
  <c r="I79" i="9"/>
  <c r="G79" i="9"/>
  <c r="R18" i="4"/>
  <c r="I254" i="5"/>
  <c r="I52" i="9"/>
  <c r="F159" i="9"/>
  <c r="G159" i="9" s="1"/>
  <c r="H159" i="9" s="1"/>
  <c r="I159" i="9" s="1"/>
  <c r="E220" i="9" s="1"/>
  <c r="F220" i="9" s="1"/>
  <c r="G220" i="9" s="1"/>
  <c r="H220" i="9" s="1"/>
  <c r="I220" i="9" s="1"/>
  <c r="E283" i="9" s="1"/>
  <c r="F283" i="9" s="1"/>
  <c r="G283" i="9" s="1"/>
  <c r="H283" i="9" s="1"/>
  <c r="I283" i="9" s="1"/>
  <c r="D346" i="9" s="1"/>
  <c r="E346" i="9" s="1"/>
  <c r="F346" i="9" s="1"/>
  <c r="G346" i="9" s="1"/>
  <c r="H346" i="9" s="1"/>
  <c r="I346" i="9" s="1"/>
  <c r="BF21" i="4"/>
  <c r="BA21" i="4"/>
  <c r="BC21" i="4" s="1"/>
  <c r="BD21" i="4"/>
  <c r="E60" i="9"/>
  <c r="E134" i="9"/>
  <c r="F134" i="9" s="1"/>
  <c r="G134" i="9" s="1"/>
  <c r="H134" i="9" s="1"/>
  <c r="I134" i="9" s="1"/>
  <c r="E195" i="9" s="1"/>
  <c r="F195" i="9" s="1"/>
  <c r="G195" i="9" s="1"/>
  <c r="H195" i="9" s="1"/>
  <c r="I195" i="9" s="1"/>
  <c r="E258" i="9" s="1"/>
  <c r="F258" i="9" s="1"/>
  <c r="G258" i="9" s="1"/>
  <c r="H258" i="9" s="1"/>
  <c r="I258" i="9" s="1"/>
  <c r="D321" i="9" s="1"/>
  <c r="E321" i="9" s="1"/>
  <c r="F321" i="9" s="1"/>
  <c r="G321" i="9" s="1"/>
  <c r="H321" i="9" s="1"/>
  <c r="I321" i="9" s="1"/>
  <c r="AD19" i="4"/>
  <c r="AC19" i="4"/>
  <c r="AI19" i="4"/>
  <c r="A36" i="2"/>
  <c r="A11" i="10" s="1"/>
  <c r="A1" i="14"/>
  <c r="BT18" i="4"/>
  <c r="BP18" i="4"/>
  <c r="BO18" i="4"/>
  <c r="BU18" i="4"/>
  <c r="G171" i="4"/>
  <c r="H489" i="9" s="1"/>
  <c r="I489" i="9"/>
  <c r="I482" i="9"/>
  <c r="AG20" i="4"/>
  <c r="AB21" i="4" s="1"/>
  <c r="AE20" i="4"/>
  <c r="AB20" i="4"/>
  <c r="AH20" i="4" s="1"/>
  <c r="AT19" i="4"/>
  <c r="AO19" i="4"/>
  <c r="AP19" i="4"/>
  <c r="C14" i="10"/>
  <c r="H11" i="6"/>
  <c r="F144" i="2" s="1"/>
  <c r="G71" i="9"/>
  <c r="E71" i="9"/>
  <c r="G108" i="9"/>
  <c r="E108" i="9"/>
  <c r="F108" i="9"/>
  <c r="I108" i="9" s="1"/>
  <c r="BH20" i="4"/>
  <c r="AS20" i="4"/>
  <c r="AN21" i="4" s="1"/>
  <c r="AN20" i="4"/>
  <c r="AP20" i="4" s="1"/>
  <c r="AQ20" i="4"/>
  <c r="E51" i="9"/>
  <c r="D52" i="9" s="1"/>
  <c r="E133" i="9"/>
  <c r="E43" i="9"/>
  <c r="F118" i="4"/>
  <c r="E47" i="9"/>
  <c r="BG20" i="4"/>
  <c r="F83" i="9"/>
  <c r="E83" i="9"/>
  <c r="I83" i="9"/>
  <c r="A319" i="11"/>
  <c r="A386" i="11"/>
  <c r="BG21" i="4"/>
  <c r="A47" i="2"/>
  <c r="A64" i="2" s="1"/>
  <c r="F133" i="9"/>
  <c r="H248" i="5"/>
  <c r="E48" i="9"/>
  <c r="AC20" i="4"/>
  <c r="F119" i="5"/>
  <c r="C97" i="10" s="1"/>
  <c r="AU19" i="4"/>
  <c r="AO20" i="4"/>
  <c r="AU20" i="4" s="1"/>
  <c r="AQ21" i="4"/>
  <c r="AS21" i="4"/>
  <c r="AS22" i="4" s="1"/>
  <c r="AN23" i="4" s="1"/>
  <c r="BF22" i="4"/>
  <c r="E131" i="4"/>
  <c r="C48" i="10"/>
  <c r="F120" i="4"/>
  <c r="BA23" i="4"/>
  <c r="AN22" i="4"/>
  <c r="AQ22" i="4"/>
  <c r="A12" i="10"/>
  <c r="H132" i="4"/>
  <c r="F131" i="4"/>
  <c r="E449" i="9" s="1"/>
  <c r="B29" i="11"/>
  <c r="AS23" i="4"/>
  <c r="AQ24" i="4" s="1"/>
  <c r="AQ23" i="4"/>
  <c r="AP23" i="4" s="1"/>
  <c r="I428" i="9"/>
  <c r="G428" i="9"/>
  <c r="F428" i="9"/>
  <c r="F132" i="4"/>
  <c r="E68" i="6"/>
  <c r="H68" i="6"/>
  <c r="G364" i="11"/>
  <c r="AS24" i="4"/>
  <c r="AQ25" i="4" s="1"/>
  <c r="AN24" i="4"/>
  <c r="AO24" i="4" s="1"/>
  <c r="G430" i="9"/>
  <c r="I430" i="9"/>
  <c r="F430" i="9"/>
  <c r="I61" i="9"/>
  <c r="G449" i="9"/>
  <c r="F449" i="9"/>
  <c r="E450" i="9"/>
  <c r="E69" i="6"/>
  <c r="H69" i="6" s="1"/>
  <c r="H70" i="6" s="1"/>
  <c r="AO23" i="4"/>
  <c r="AP24" i="4"/>
  <c r="AS25" i="4"/>
  <c r="AN26" i="4" s="1"/>
  <c r="AO26" i="4" s="1"/>
  <c r="G207" i="5"/>
  <c r="E61" i="9"/>
  <c r="G450" i="9"/>
  <c r="F450" i="9"/>
  <c r="I432" i="9"/>
  <c r="G432" i="9"/>
  <c r="F432" i="9"/>
  <c r="G451" i="9"/>
  <c r="F451" i="9"/>
  <c r="G482" i="9"/>
  <c r="F482" i="9"/>
  <c r="AS26" i="4"/>
  <c r="G489" i="9"/>
  <c r="F489" i="9"/>
  <c r="I491" i="9"/>
  <c r="G491" i="9"/>
  <c r="F491" i="9"/>
  <c r="H95" i="9"/>
  <c r="H81" i="9"/>
  <c r="F222" i="5"/>
  <c r="I222" i="5" s="1"/>
  <c r="H99" i="9" s="1"/>
  <c r="F219" i="5"/>
  <c r="I219" i="5" s="1"/>
  <c r="D221" i="5"/>
  <c r="G221" i="5" s="1"/>
  <c r="E219" i="5"/>
  <c r="H219" i="5" s="1"/>
  <c r="H88" i="9" s="1"/>
  <c r="F221" i="5"/>
  <c r="I221" i="5"/>
  <c r="H98" i="9" s="1"/>
  <c r="F220" i="5"/>
  <c r="I220" i="5" s="1"/>
  <c r="H97" i="9" s="1"/>
  <c r="E218" i="5"/>
  <c r="H79" i="9" s="1"/>
  <c r="E222" i="5"/>
  <c r="H222" i="5" s="1"/>
  <c r="D223" i="5"/>
  <c r="G223" i="5" s="1"/>
  <c r="H91" i="9"/>
  <c r="H83" i="9"/>
  <c r="H80" i="9"/>
  <c r="A250" i="9" l="1"/>
  <c r="A375" i="9"/>
  <c r="A126" i="9"/>
  <c r="A1" i="4"/>
  <c r="A438" i="9"/>
  <c r="A1" i="8"/>
  <c r="A313" i="9"/>
  <c r="A101" i="10"/>
  <c r="A64" i="9"/>
  <c r="A1" i="5"/>
  <c r="A1" i="6"/>
  <c r="A1" i="10"/>
  <c r="A187" i="9"/>
  <c r="A135" i="11"/>
  <c r="A68" i="11"/>
  <c r="C81" i="10"/>
  <c r="H96" i="9"/>
  <c r="H218" i="5"/>
  <c r="H180" i="5"/>
  <c r="H234" i="5"/>
  <c r="H121" i="5"/>
  <c r="H289" i="5"/>
  <c r="AQ27" i="4"/>
  <c r="AS27" i="4"/>
  <c r="AN27" i="4"/>
  <c r="AU23" i="4"/>
  <c r="AQ26" i="4"/>
  <c r="AP26" i="4" s="1"/>
  <c r="AU26" i="4" s="1"/>
  <c r="AT24" i="4"/>
  <c r="G133" i="9"/>
  <c r="A320" i="11"/>
  <c r="A387" i="11"/>
  <c r="A13" i="10"/>
  <c r="A76" i="2"/>
  <c r="F135" i="9"/>
  <c r="G135" i="9" s="1"/>
  <c r="H135" i="9" s="1"/>
  <c r="I135" i="9" s="1"/>
  <c r="E196" i="9" s="1"/>
  <c r="F196" i="9" s="1"/>
  <c r="G196" i="9" s="1"/>
  <c r="H196" i="9" s="1"/>
  <c r="I196" i="9" s="1"/>
  <c r="E259" i="9" s="1"/>
  <c r="F259" i="9" s="1"/>
  <c r="G259" i="9" s="1"/>
  <c r="H259" i="9" s="1"/>
  <c r="I259" i="9" s="1"/>
  <c r="D322" i="9" s="1"/>
  <c r="E322" i="9" s="1"/>
  <c r="F322" i="9" s="1"/>
  <c r="G322" i="9" s="1"/>
  <c r="H322" i="9" s="1"/>
  <c r="I322" i="9" s="1"/>
  <c r="E138" i="9"/>
  <c r="AU24" i="4"/>
  <c r="BC23" i="4"/>
  <c r="BB23" i="4"/>
  <c r="AP22" i="4"/>
  <c r="AO22" i="4"/>
  <c r="AT22" i="4"/>
  <c r="AP21" i="4"/>
  <c r="AT21" i="4"/>
  <c r="AN25" i="4"/>
  <c r="AO21" i="4"/>
  <c r="AU21" i="4" s="1"/>
  <c r="BF23" i="4"/>
  <c r="BD23" i="4"/>
  <c r="BG23" i="4" s="1"/>
  <c r="AT23" i="4"/>
  <c r="BA22" i="4"/>
  <c r="BD22" i="4"/>
  <c r="F133" i="4"/>
  <c r="E132" i="4"/>
  <c r="AT20" i="4"/>
  <c r="E141" i="9"/>
  <c r="I99" i="6"/>
  <c r="I101" i="6" s="1"/>
  <c r="BC18" i="4"/>
  <c r="BH18" i="4" s="1"/>
  <c r="E160" i="9"/>
  <c r="I255" i="5"/>
  <c r="I53" i="9"/>
  <c r="G374" i="11"/>
  <c r="H71" i="9"/>
  <c r="F71" i="9"/>
  <c r="I71" i="9" s="1"/>
  <c r="F241" i="5"/>
  <c r="F246" i="5" s="1"/>
  <c r="I241" i="5"/>
  <c r="I246" i="5" s="1"/>
  <c r="E52" i="9"/>
  <c r="G392" i="11"/>
  <c r="AC21" i="4"/>
  <c r="BB21" i="4"/>
  <c r="BH21" i="4" s="1"/>
  <c r="Q18" i="4"/>
  <c r="W18" i="4" s="1"/>
  <c r="R20" i="4"/>
  <c r="Q20" i="4"/>
  <c r="E12" i="6"/>
  <c r="E14" i="6" s="1"/>
  <c r="AE21" i="4"/>
  <c r="AD21" i="4" s="1"/>
  <c r="H122" i="4"/>
  <c r="H176" i="4"/>
  <c r="AD20" i="4"/>
  <c r="AI20" i="4" s="1"/>
  <c r="AG21" i="4"/>
  <c r="G186" i="24"/>
  <c r="G188" i="24" s="1"/>
  <c r="AC18" i="4"/>
  <c r="AI18" i="4" s="1"/>
  <c r="AH18" i="4"/>
  <c r="F174" i="5" s="1"/>
  <c r="G116" i="3"/>
  <c r="G176" i="3"/>
  <c r="F445" i="9"/>
  <c r="F418" i="9"/>
  <c r="S20" i="4"/>
  <c r="V20" i="4" s="1"/>
  <c r="U20" i="4"/>
  <c r="I107" i="9"/>
  <c r="F469" i="9"/>
  <c r="F384" i="9"/>
  <c r="F463" i="9"/>
  <c r="F427" i="9"/>
  <c r="F429" i="9"/>
  <c r="E137" i="2"/>
  <c r="F388" i="9"/>
  <c r="F394" i="9"/>
  <c r="F461" i="9"/>
  <c r="F389" i="9"/>
  <c r="F409" i="9"/>
  <c r="F403" i="9"/>
  <c r="H74" i="9"/>
  <c r="E74" i="9"/>
  <c r="F74" i="9"/>
  <c r="I74" i="9" s="1"/>
  <c r="G74" i="9"/>
  <c r="F486" i="9"/>
  <c r="F410" i="9"/>
  <c r="F416" i="9"/>
  <c r="F470" i="9"/>
  <c r="F412" i="9"/>
  <c r="F464" i="9"/>
  <c r="E73" i="9"/>
  <c r="A1" i="7"/>
  <c r="A40" i="10"/>
  <c r="G87" i="9"/>
  <c r="G259" i="11"/>
  <c r="G107" i="9"/>
  <c r="P19" i="4"/>
  <c r="S19" i="4"/>
  <c r="E107" i="9"/>
  <c r="F192" i="11"/>
  <c r="F193" i="11" s="1"/>
  <c r="G193" i="11" s="1"/>
  <c r="B260" i="11" s="1"/>
  <c r="C260" i="11" s="1"/>
  <c r="D260" i="11" s="1"/>
  <c r="E260" i="11" s="1"/>
  <c r="F260" i="11" s="1"/>
  <c r="G260" i="11" s="1"/>
  <c r="B327" i="11" s="1"/>
  <c r="C327" i="11" s="1"/>
  <c r="D327" i="11" s="1"/>
  <c r="E327" i="11" s="1"/>
  <c r="F327" i="11" s="1"/>
  <c r="G327" i="11" s="1"/>
  <c r="B394" i="11" s="1"/>
  <c r="C394" i="11" s="1"/>
  <c r="D394" i="11" s="1"/>
  <c r="E394" i="11" s="1"/>
  <c r="F394" i="11" s="1"/>
  <c r="BA19" i="4"/>
  <c r="BD19" i="4"/>
  <c r="D219" i="5"/>
  <c r="G219" i="5" s="1"/>
  <c r="I92" i="2"/>
  <c r="C15" i="10" s="1"/>
  <c r="BS19" i="4"/>
  <c r="H83" i="6"/>
  <c r="H223" i="5"/>
  <c r="H92" i="9" s="1"/>
  <c r="H77" i="6"/>
  <c r="G222" i="5"/>
  <c r="I249" i="5"/>
  <c r="A336" i="11" l="1"/>
  <c r="A269" i="11"/>
  <c r="C79" i="10"/>
  <c r="C78" i="10"/>
  <c r="I248" i="5"/>
  <c r="E139" i="9"/>
  <c r="F164" i="4"/>
  <c r="E451" i="9"/>
  <c r="E70" i="6"/>
  <c r="I250" i="5"/>
  <c r="BG19" i="4"/>
  <c r="BB19" i="4"/>
  <c r="BH19" i="4" s="1"/>
  <c r="BC19" i="4"/>
  <c r="AI21" i="4"/>
  <c r="BF24" i="4"/>
  <c r="BD24" i="4"/>
  <c r="BA24" i="4"/>
  <c r="AT26" i="4"/>
  <c r="AO25" i="4"/>
  <c r="AU25" i="4" s="1"/>
  <c r="AT25" i="4"/>
  <c r="AP25" i="4"/>
  <c r="H99" i="6"/>
  <c r="H101" i="6" s="1"/>
  <c r="C52" i="10"/>
  <c r="C51" i="10"/>
  <c r="B30" i="11"/>
  <c r="E133" i="4"/>
  <c r="BH23" i="4"/>
  <c r="F176" i="5"/>
  <c r="E174" i="5"/>
  <c r="E428" i="9"/>
  <c r="G42" i="6"/>
  <c r="I42" i="6"/>
  <c r="H133" i="9"/>
  <c r="G138" i="9"/>
  <c r="AO27" i="4"/>
  <c r="AT27" i="4"/>
  <c r="AP27" i="4"/>
  <c r="BS20" i="4"/>
  <c r="BQ20" i="4"/>
  <c r="BN20" i="4"/>
  <c r="W20" i="4"/>
  <c r="F248" i="5"/>
  <c r="F250" i="5" s="1"/>
  <c r="F265" i="5" s="1"/>
  <c r="F160" i="9"/>
  <c r="G160" i="9" s="1"/>
  <c r="H160" i="9" s="1"/>
  <c r="I160" i="9" s="1"/>
  <c r="E221" i="9" s="1"/>
  <c r="F221" i="9" s="1"/>
  <c r="G221" i="9" s="1"/>
  <c r="H221" i="9" s="1"/>
  <c r="I221" i="9" s="1"/>
  <c r="E284" i="9" s="1"/>
  <c r="F284" i="9" s="1"/>
  <c r="G284" i="9" s="1"/>
  <c r="H284" i="9" s="1"/>
  <c r="I284" i="9" s="1"/>
  <c r="D347" i="9" s="1"/>
  <c r="E347" i="9" s="1"/>
  <c r="F347" i="9" s="1"/>
  <c r="G347" i="9" s="1"/>
  <c r="H347" i="9" s="1"/>
  <c r="I347" i="9" s="1"/>
  <c r="BB22" i="4"/>
  <c r="BC22" i="4"/>
  <c r="BG22" i="4"/>
  <c r="G139" i="9"/>
  <c r="F139" i="9"/>
  <c r="E140" i="9"/>
  <c r="I139" i="9"/>
  <c r="G200" i="9"/>
  <c r="H200" i="9"/>
  <c r="G263" i="9"/>
  <c r="E200" i="9"/>
  <c r="E263" i="9"/>
  <c r="H139" i="9"/>
  <c r="F200" i="9"/>
  <c r="I200" i="9"/>
  <c r="F326" i="9"/>
  <c r="I263" i="9"/>
  <c r="E326" i="9"/>
  <c r="F263" i="9"/>
  <c r="H263" i="9"/>
  <c r="G326" i="9"/>
  <c r="I326" i="9"/>
  <c r="H326" i="9"/>
  <c r="D326" i="9"/>
  <c r="F138" i="9"/>
  <c r="F140" i="9" s="1"/>
  <c r="AN28" i="4"/>
  <c r="AQ28" i="4"/>
  <c r="AS28" i="4"/>
  <c r="R19" i="4"/>
  <c r="V19" i="4"/>
  <c r="F172" i="9" s="1"/>
  <c r="Q19" i="4"/>
  <c r="W19" i="4" s="1"/>
  <c r="F178" i="9" s="1"/>
  <c r="P21" i="4"/>
  <c r="U21" i="4"/>
  <c r="S21" i="4"/>
  <c r="E54" i="9"/>
  <c r="E57" i="9" s="1"/>
  <c r="H87" i="9"/>
  <c r="C80" i="10"/>
  <c r="E138" i="2"/>
  <c r="H147" i="2"/>
  <c r="AG22" i="4"/>
  <c r="AE22" i="4"/>
  <c r="AB22" i="4"/>
  <c r="E178" i="9"/>
  <c r="AU22" i="4"/>
  <c r="AH21" i="4"/>
  <c r="F141" i="9"/>
  <c r="E142" i="9"/>
  <c r="E143" i="9" s="1"/>
  <c r="A86" i="2"/>
  <c r="A14" i="10"/>
  <c r="G365" i="11" l="1"/>
  <c r="G366" i="11" s="1"/>
  <c r="G393" i="11" s="1"/>
  <c r="B31" i="11"/>
  <c r="B58" i="11" s="1"/>
  <c r="G141" i="9"/>
  <c r="F142" i="9"/>
  <c r="F143" i="9" s="1"/>
  <c r="F144" i="9" s="1"/>
  <c r="F152" i="9" s="1"/>
  <c r="F155" i="9" s="1"/>
  <c r="AE23" i="4"/>
  <c r="AG23" i="4"/>
  <c r="AB23" i="4"/>
  <c r="P22" i="4"/>
  <c r="S22" i="4"/>
  <c r="U22" i="4"/>
  <c r="BH22" i="4"/>
  <c r="BS21" i="4"/>
  <c r="BQ21" i="4"/>
  <c r="BN21" i="4"/>
  <c r="BD25" i="4"/>
  <c r="BF25" i="4"/>
  <c r="BA25" i="4"/>
  <c r="F182" i="9"/>
  <c r="F179" i="9"/>
  <c r="E172" i="9"/>
  <c r="E174" i="9" s="1"/>
  <c r="E176" i="5"/>
  <c r="H112" i="6"/>
  <c r="F171" i="4"/>
  <c r="E101" i="6"/>
  <c r="E105" i="6" s="1"/>
  <c r="H105" i="6" s="1"/>
  <c r="E482" i="9"/>
  <c r="E144" i="9"/>
  <c r="E152" i="9" s="1"/>
  <c r="E155" i="9" s="1"/>
  <c r="AU27" i="4"/>
  <c r="F178" i="5"/>
  <c r="E432" i="9" s="1"/>
  <c r="E430" i="9"/>
  <c r="AP28" i="4"/>
  <c r="AT28" i="4"/>
  <c r="AO28" i="4"/>
  <c r="G140" i="9"/>
  <c r="BC24" i="4"/>
  <c r="BG24" i="4"/>
  <c r="BB24" i="4"/>
  <c r="AS29" i="4"/>
  <c r="AQ29" i="4"/>
  <c r="AN29" i="4"/>
  <c r="I133" i="9"/>
  <c r="H138" i="9"/>
  <c r="H140" i="9" s="1"/>
  <c r="Q21" i="4"/>
  <c r="W21" i="4" s="1"/>
  <c r="R21" i="4"/>
  <c r="V21" i="4"/>
  <c r="E182" i="9"/>
  <c r="E179" i="9"/>
  <c r="A96" i="2"/>
  <c r="A15" i="10"/>
  <c r="AD22" i="4"/>
  <c r="AH22" i="4"/>
  <c r="AC22" i="4"/>
  <c r="BP20" i="4"/>
  <c r="BO20" i="4"/>
  <c r="BT20" i="4"/>
  <c r="G172" i="9" s="1"/>
  <c r="E164" i="4"/>
  <c r="I34" i="9"/>
  <c r="I39" i="9" s="1"/>
  <c r="E40" i="9" s="1"/>
  <c r="C32" i="10" s="1"/>
  <c r="H172" i="9" l="1"/>
  <c r="I58" i="9"/>
  <c r="I59" i="9" s="1"/>
  <c r="E59" i="9" s="1"/>
  <c r="I262" i="5"/>
  <c r="I263" i="5" s="1"/>
  <c r="I265" i="5" s="1"/>
  <c r="E178" i="5"/>
  <c r="AE24" i="4"/>
  <c r="AG24" i="4"/>
  <c r="AB24" i="4"/>
  <c r="AI22" i="4"/>
  <c r="BH24" i="4"/>
  <c r="BS22" i="4"/>
  <c r="BN22" i="4"/>
  <c r="BQ22" i="4"/>
  <c r="E176" i="9"/>
  <c r="F158" i="9"/>
  <c r="F174" i="9" s="1"/>
  <c r="F176" i="9" s="1"/>
  <c r="C72" i="10"/>
  <c r="C73" i="10"/>
  <c r="E171" i="4"/>
  <c r="I138" i="9"/>
  <c r="I140" i="9" s="1"/>
  <c r="E194" i="9"/>
  <c r="BB25" i="4"/>
  <c r="BC25" i="4"/>
  <c r="BG25" i="4"/>
  <c r="U23" i="4"/>
  <c r="S23" i="4"/>
  <c r="P23" i="4"/>
  <c r="G142" i="9"/>
  <c r="G143" i="9" s="1"/>
  <c r="G144" i="9" s="1"/>
  <c r="G152" i="9" s="1"/>
  <c r="G155" i="9" s="1"/>
  <c r="H141" i="9"/>
  <c r="AN30" i="4"/>
  <c r="AS30" i="4"/>
  <c r="AQ30" i="4"/>
  <c r="AU28" i="4"/>
  <c r="BD26" i="4"/>
  <c r="BA26" i="4"/>
  <c r="BF26" i="4"/>
  <c r="A16" i="10"/>
  <c r="A128" i="2"/>
  <c r="BU20" i="4"/>
  <c r="G178" i="9" s="1"/>
  <c r="AP29" i="4"/>
  <c r="AT29" i="4"/>
  <c r="AO29" i="4"/>
  <c r="AU29" i="4" s="1"/>
  <c r="E108" i="6"/>
  <c r="E489" i="9"/>
  <c r="V22" i="4"/>
  <c r="R22" i="4"/>
  <c r="Q22" i="4"/>
  <c r="W22" i="4" s="1"/>
  <c r="F329" i="11"/>
  <c r="B195" i="11"/>
  <c r="B396" i="11"/>
  <c r="G61" i="11"/>
  <c r="F61" i="11"/>
  <c r="E329" i="11"/>
  <c r="C262" i="11"/>
  <c r="E396" i="11"/>
  <c r="E195" i="11"/>
  <c r="G195" i="11"/>
  <c r="F128" i="11"/>
  <c r="C195" i="11"/>
  <c r="B128" i="11"/>
  <c r="G128" i="11"/>
  <c r="C128" i="11"/>
  <c r="D195" i="11"/>
  <c r="E262" i="11"/>
  <c r="B329" i="11"/>
  <c r="C61" i="11"/>
  <c r="E128" i="11"/>
  <c r="B262" i="11"/>
  <c r="E61" i="11"/>
  <c r="C329" i="11"/>
  <c r="F262" i="11"/>
  <c r="D329" i="11"/>
  <c r="C396" i="11"/>
  <c r="D396" i="11"/>
  <c r="D128" i="11"/>
  <c r="D262" i="11"/>
  <c r="F396" i="11"/>
  <c r="D61" i="11"/>
  <c r="G329" i="11"/>
  <c r="G262" i="11"/>
  <c r="F195" i="11"/>
  <c r="I38" i="6"/>
  <c r="H47" i="6" s="1"/>
  <c r="I36" i="6"/>
  <c r="E112" i="6"/>
  <c r="BT21" i="4"/>
  <c r="BP21" i="4"/>
  <c r="BO21" i="4"/>
  <c r="BU21" i="4" s="1"/>
  <c r="H178" i="9" s="1"/>
  <c r="AH23" i="4"/>
  <c r="AC23" i="4"/>
  <c r="AD23" i="4"/>
  <c r="G176" i="9" l="1"/>
  <c r="G158" i="9"/>
  <c r="G174" i="9" s="1"/>
  <c r="F183" i="9"/>
  <c r="F180" i="9"/>
  <c r="H182" i="9"/>
  <c r="H179" i="9"/>
  <c r="V23" i="4"/>
  <c r="R23" i="4"/>
  <c r="Q23" i="4"/>
  <c r="AH24" i="4"/>
  <c r="AD24" i="4"/>
  <c r="AC24" i="4"/>
  <c r="AI24" i="4" s="1"/>
  <c r="AI23" i="4"/>
  <c r="F173" i="4"/>
  <c r="J171" i="4"/>
  <c r="E173" i="4"/>
  <c r="J173" i="4" s="1"/>
  <c r="G173" i="4"/>
  <c r="H491" i="9" s="1"/>
  <c r="AB25" i="4"/>
  <c r="AG25" i="4"/>
  <c r="AE25" i="4"/>
  <c r="H142" i="9"/>
  <c r="H143" i="9"/>
  <c r="H144" i="9" s="1"/>
  <c r="H152" i="9" s="1"/>
  <c r="H155" i="9" s="1"/>
  <c r="I141" i="9"/>
  <c r="I40" i="6"/>
  <c r="I44" i="6" s="1"/>
  <c r="H45" i="6" s="1"/>
  <c r="H46" i="6" s="1"/>
  <c r="H48" i="6" s="1"/>
  <c r="P24" i="4"/>
  <c r="U24" i="4"/>
  <c r="S24" i="4"/>
  <c r="G179" i="9"/>
  <c r="G182" i="9"/>
  <c r="AS31" i="4"/>
  <c r="AN31" i="4"/>
  <c r="AQ31" i="4"/>
  <c r="C98" i="10"/>
  <c r="G205" i="5"/>
  <c r="BA27" i="4"/>
  <c r="BF27" i="4"/>
  <c r="BD27" i="4"/>
  <c r="A137" i="2"/>
  <c r="A139" i="2" s="1"/>
  <c r="A17" i="10"/>
  <c r="AP30" i="4"/>
  <c r="AT30" i="4"/>
  <c r="AO30" i="4"/>
  <c r="AU30" i="4" s="1"/>
  <c r="BP22" i="4"/>
  <c r="BO22" i="4"/>
  <c r="BT22" i="4"/>
  <c r="I172" i="9"/>
  <c r="BH25" i="4"/>
  <c r="BS23" i="4"/>
  <c r="BQ23" i="4"/>
  <c r="BN23" i="4"/>
  <c r="BB26" i="4"/>
  <c r="BH26" i="4" s="1"/>
  <c r="BG26" i="4"/>
  <c r="BC26" i="4"/>
  <c r="F194" i="9"/>
  <c r="E199" i="9"/>
  <c r="E201" i="9" s="1"/>
  <c r="E183" i="9"/>
  <c r="E180" i="9"/>
  <c r="C115" i="10" l="1"/>
  <c r="L51" i="6"/>
  <c r="C52" i="6" s="1"/>
  <c r="A18" i="10"/>
  <c r="A143" i="2"/>
  <c r="A147" i="2" s="1"/>
  <c r="AP31" i="4"/>
  <c r="AO31" i="4"/>
  <c r="AT31" i="4"/>
  <c r="I142" i="9"/>
  <c r="I143" i="9"/>
  <c r="I144" i="9" s="1"/>
  <c r="I152" i="9" s="1"/>
  <c r="I155" i="9" s="1"/>
  <c r="E202" i="9"/>
  <c r="G180" i="9"/>
  <c r="G183" i="9"/>
  <c r="AS32" i="4"/>
  <c r="AQ32" i="4"/>
  <c r="AN32" i="4"/>
  <c r="H158" i="9"/>
  <c r="H174" i="9" s="1"/>
  <c r="H176" i="9" s="1"/>
  <c r="E110" i="6"/>
  <c r="E491" i="9"/>
  <c r="E233" i="9"/>
  <c r="BU22" i="4"/>
  <c r="I178" i="9" s="1"/>
  <c r="F199" i="9"/>
  <c r="F201" i="9" s="1"/>
  <c r="G194" i="9"/>
  <c r="BF28" i="4"/>
  <c r="BA28" i="4"/>
  <c r="BD28" i="4"/>
  <c r="BT23" i="4"/>
  <c r="BP23" i="4"/>
  <c r="BO23" i="4"/>
  <c r="BU23" i="4" s="1"/>
  <c r="BG27" i="4"/>
  <c r="BC27" i="4"/>
  <c r="BB27" i="4"/>
  <c r="BH27" i="4" s="1"/>
  <c r="AD25" i="4"/>
  <c r="AC25" i="4"/>
  <c r="AH25" i="4"/>
  <c r="AB26" i="4"/>
  <c r="AG26" i="4"/>
  <c r="AE26" i="4"/>
  <c r="P25" i="4"/>
  <c r="S25" i="4"/>
  <c r="U25" i="4"/>
  <c r="BQ24" i="4"/>
  <c r="BS24" i="4"/>
  <c r="BN24" i="4"/>
  <c r="V24" i="4"/>
  <c r="R24" i="4"/>
  <c r="Q24" i="4"/>
  <c r="W23" i="4"/>
  <c r="E239" i="9" s="1"/>
  <c r="H183" i="9" l="1"/>
  <c r="H180" i="9"/>
  <c r="S26" i="4"/>
  <c r="U26" i="4"/>
  <c r="P26" i="4"/>
  <c r="BA29" i="4"/>
  <c r="BF29" i="4"/>
  <c r="BD29" i="4"/>
  <c r="W24" i="4"/>
  <c r="Q25" i="4"/>
  <c r="R25" i="4"/>
  <c r="V25" i="4"/>
  <c r="G199" i="9"/>
  <c r="G201" i="9" s="1"/>
  <c r="H194" i="9"/>
  <c r="AO32" i="4"/>
  <c r="AT32" i="4"/>
  <c r="AP32" i="4"/>
  <c r="AU31" i="4"/>
  <c r="I179" i="9"/>
  <c r="I182" i="9"/>
  <c r="A19" i="10"/>
  <c r="A149" i="2"/>
  <c r="F233" i="9"/>
  <c r="AG27" i="4"/>
  <c r="AB27" i="4"/>
  <c r="AE27" i="4"/>
  <c r="AN33" i="4"/>
  <c r="AQ33" i="4"/>
  <c r="AS33" i="4"/>
  <c r="BT24" i="4"/>
  <c r="BO24" i="4"/>
  <c r="BP24" i="4"/>
  <c r="AD26" i="4"/>
  <c r="AC26" i="4"/>
  <c r="AI26" i="4" s="1"/>
  <c r="AH26" i="4"/>
  <c r="BQ25" i="4"/>
  <c r="BN25" i="4"/>
  <c r="BS25" i="4"/>
  <c r="E240" i="9"/>
  <c r="E243" i="9"/>
  <c r="BB28" i="4"/>
  <c r="BC28" i="4"/>
  <c r="BG28" i="4"/>
  <c r="AI25" i="4"/>
  <c r="F202" i="9"/>
  <c r="E203" i="9"/>
  <c r="E204" i="9"/>
  <c r="E205" i="9" s="1"/>
  <c r="E213" i="9" s="1"/>
  <c r="E216" i="9" s="1"/>
  <c r="I176" i="9"/>
  <c r="I158" i="9"/>
  <c r="I174" i="9" s="1"/>
  <c r="BS26" i="4" l="1"/>
  <c r="BQ26" i="4"/>
  <c r="BN26" i="4"/>
  <c r="A25" i="14"/>
  <c r="A155" i="2"/>
  <c r="A157" i="2" s="1"/>
  <c r="A169" i="2" s="1"/>
  <c r="A176" i="2" s="1"/>
  <c r="AU32" i="4"/>
  <c r="BA30" i="4"/>
  <c r="BD30" i="4"/>
  <c r="BF30" i="4"/>
  <c r="E219" i="9"/>
  <c r="E235" i="9" s="1"/>
  <c r="E237" i="9" s="1"/>
  <c r="BP25" i="4"/>
  <c r="BT25" i="4"/>
  <c r="BO25" i="4"/>
  <c r="BU25" i="4" s="1"/>
  <c r="H199" i="9"/>
  <c r="H201" i="9" s="1"/>
  <c r="I194" i="9"/>
  <c r="BG29" i="4"/>
  <c r="BC29" i="4"/>
  <c r="BB29" i="4"/>
  <c r="BH29" i="4" s="1"/>
  <c r="BU24" i="4"/>
  <c r="AN34" i="4"/>
  <c r="AQ34" i="4"/>
  <c r="AS34" i="4"/>
  <c r="Q26" i="4"/>
  <c r="W26" i="4" s="1"/>
  <c r="R26" i="4"/>
  <c r="V26" i="4"/>
  <c r="U27" i="4"/>
  <c r="S27" i="4"/>
  <c r="P27" i="4"/>
  <c r="AB28" i="4"/>
  <c r="AE28" i="4"/>
  <c r="AG28" i="4"/>
  <c r="G202" i="9"/>
  <c r="F203" i="9"/>
  <c r="F204" i="9"/>
  <c r="F205" i="9" s="1"/>
  <c r="F213" i="9" s="1"/>
  <c r="F216" i="9" s="1"/>
  <c r="AP33" i="4"/>
  <c r="AT33" i="4"/>
  <c r="AO33" i="4"/>
  <c r="G233" i="9"/>
  <c r="I183" i="9"/>
  <c r="I180" i="9"/>
  <c r="BH28" i="4"/>
  <c r="AD27" i="4"/>
  <c r="AC27" i="4"/>
  <c r="AI27" i="4" s="1"/>
  <c r="AH27" i="4"/>
  <c r="W25" i="4"/>
  <c r="F239" i="9"/>
  <c r="E241" i="9" l="1"/>
  <c r="E244" i="9"/>
  <c r="I199" i="9"/>
  <c r="I201" i="9" s="1"/>
  <c r="E257" i="9"/>
  <c r="G239" i="9"/>
  <c r="AU33" i="4"/>
  <c r="AC28" i="4"/>
  <c r="AD28" i="4"/>
  <c r="AH28" i="4"/>
  <c r="AN35" i="4"/>
  <c r="AQ35" i="4"/>
  <c r="AS35" i="4"/>
  <c r="BG30" i="4"/>
  <c r="BC30" i="4"/>
  <c r="BB30" i="4"/>
  <c r="BH30" i="4" s="1"/>
  <c r="AO34" i="4"/>
  <c r="AP34" i="4"/>
  <c r="AT34" i="4"/>
  <c r="A180" i="2"/>
  <c r="A37" i="14"/>
  <c r="F219" i="9"/>
  <c r="F235" i="9" s="1"/>
  <c r="F237" i="9" s="1"/>
  <c r="P28" i="4"/>
  <c r="U28" i="4"/>
  <c r="S28" i="4"/>
  <c r="BP26" i="4"/>
  <c r="BT26" i="4"/>
  <c r="H233" i="9" s="1"/>
  <c r="BO26" i="4"/>
  <c r="BU26" i="4" s="1"/>
  <c r="H239" i="9" s="1"/>
  <c r="F243" i="9"/>
  <c r="F240" i="9"/>
  <c r="R27" i="4"/>
  <c r="Q27" i="4"/>
  <c r="W27" i="4" s="1"/>
  <c r="V27" i="4"/>
  <c r="G203" i="9"/>
  <c r="G204" i="9"/>
  <c r="G205" i="9" s="1"/>
  <c r="G213" i="9" s="1"/>
  <c r="G216" i="9" s="1"/>
  <c r="H202" i="9"/>
  <c r="AE29" i="4"/>
  <c r="AG29" i="4"/>
  <c r="AB29" i="4"/>
  <c r="BD31" i="4"/>
  <c r="BA31" i="4"/>
  <c r="BF31" i="4"/>
  <c r="BQ27" i="4"/>
  <c r="BN27" i="4"/>
  <c r="BS27" i="4"/>
  <c r="F244" i="9" l="1"/>
  <c r="F241" i="9"/>
  <c r="H243" i="9"/>
  <c r="H240" i="9"/>
  <c r="AE30" i="4"/>
  <c r="AG30" i="4"/>
  <c r="AB30" i="4"/>
  <c r="G240" i="9"/>
  <c r="G243" i="9"/>
  <c r="BD32" i="4"/>
  <c r="BA32" i="4"/>
  <c r="BF32" i="4"/>
  <c r="A20" i="10"/>
  <c r="A182" i="2"/>
  <c r="A189" i="2" s="1"/>
  <c r="A192" i="2" s="1"/>
  <c r="A206" i="2" s="1"/>
  <c r="A215" i="2" s="1"/>
  <c r="AQ36" i="4"/>
  <c r="AS36" i="4"/>
  <c r="AN36" i="4"/>
  <c r="F257" i="9"/>
  <c r="E262" i="9"/>
  <c r="E264" i="9" s="1"/>
  <c r="BQ28" i="4"/>
  <c r="BS28" i="4"/>
  <c r="BN28" i="4"/>
  <c r="R28" i="4"/>
  <c r="V28" i="4"/>
  <c r="Q28" i="4"/>
  <c r="W28" i="4" s="1"/>
  <c r="G219" i="9"/>
  <c r="G235" i="9" s="1"/>
  <c r="G237" i="9" s="1"/>
  <c r="BC31" i="4"/>
  <c r="BB31" i="4"/>
  <c r="BG31" i="4"/>
  <c r="AP35" i="4"/>
  <c r="AT35" i="4"/>
  <c r="AO35" i="4"/>
  <c r="BP27" i="4"/>
  <c r="BT27" i="4"/>
  <c r="I233" i="9" s="1"/>
  <c r="BO27" i="4"/>
  <c r="BU27" i="4" s="1"/>
  <c r="I239" i="9" s="1"/>
  <c r="AI28" i="4"/>
  <c r="H203" i="9"/>
  <c r="H204" i="9"/>
  <c r="H205" i="9" s="1"/>
  <c r="H213" i="9" s="1"/>
  <c r="H216" i="9" s="1"/>
  <c r="I202" i="9"/>
  <c r="AC29" i="4"/>
  <c r="AH29" i="4"/>
  <c r="AD29" i="4"/>
  <c r="U29" i="4"/>
  <c r="S29" i="4"/>
  <c r="P29" i="4"/>
  <c r="AU34" i="4"/>
  <c r="I243" i="9" l="1"/>
  <c r="I240" i="9"/>
  <c r="G241" i="9"/>
  <c r="G244" i="9"/>
  <c r="H219" i="9"/>
  <c r="H235" i="9" s="1"/>
  <c r="H237" i="9" s="1"/>
  <c r="AN37" i="4"/>
  <c r="AQ37" i="4"/>
  <c r="AS37" i="4"/>
  <c r="P30" i="4"/>
  <c r="S30" i="4"/>
  <c r="U30" i="4"/>
  <c r="BO28" i="4"/>
  <c r="BT28" i="4"/>
  <c r="E296" i="9" s="1"/>
  <c r="BP28" i="4"/>
  <c r="AH30" i="4"/>
  <c r="AC30" i="4"/>
  <c r="AI30" i="4" s="1"/>
  <c r="AD30" i="4"/>
  <c r="BH31" i="4"/>
  <c r="BS29" i="4"/>
  <c r="BQ29" i="4"/>
  <c r="BN29" i="4"/>
  <c r="A21" i="10"/>
  <c r="A216" i="2"/>
  <c r="A217" i="2" s="1"/>
  <c r="A220" i="2" s="1"/>
  <c r="A221" i="2" s="1"/>
  <c r="A222" i="2" s="1"/>
  <c r="A223" i="2" s="1"/>
  <c r="A226" i="2" s="1"/>
  <c r="A229" i="2" s="1"/>
  <c r="A233" i="2" s="1"/>
  <c r="AG31" i="4"/>
  <c r="AE31" i="4"/>
  <c r="AB31" i="4"/>
  <c r="BF33" i="4"/>
  <c r="BA33" i="4"/>
  <c r="BD33" i="4"/>
  <c r="AI29" i="4"/>
  <c r="AU35" i="4"/>
  <c r="BC32" i="4"/>
  <c r="BG32" i="4"/>
  <c r="BB32" i="4"/>
  <c r="F262" i="9"/>
  <c r="F264" i="9" s="1"/>
  <c r="G257" i="9"/>
  <c r="E265" i="9"/>
  <c r="I204" i="9"/>
  <c r="I205" i="9" s="1"/>
  <c r="I213" i="9" s="1"/>
  <c r="I216" i="9" s="1"/>
  <c r="I203" i="9"/>
  <c r="V29" i="4"/>
  <c r="R29" i="4"/>
  <c r="Q29" i="4"/>
  <c r="AO36" i="4"/>
  <c r="AU36" i="4" s="1"/>
  <c r="AT36" i="4"/>
  <c r="AP36" i="4"/>
  <c r="H241" i="9" l="1"/>
  <c r="H244" i="9"/>
  <c r="BT29" i="4"/>
  <c r="F296" i="9" s="1"/>
  <c r="BO29" i="4"/>
  <c r="BU29" i="4" s="1"/>
  <c r="BP29" i="4"/>
  <c r="W29" i="4"/>
  <c r="F302" i="9" s="1"/>
  <c r="BH32" i="4"/>
  <c r="BG33" i="4"/>
  <c r="BC33" i="4"/>
  <c r="BB33" i="4"/>
  <c r="BH33" i="4" s="1"/>
  <c r="BU28" i="4"/>
  <c r="E302" i="9" s="1"/>
  <c r="BF34" i="4"/>
  <c r="BD34" i="4"/>
  <c r="BA34" i="4"/>
  <c r="BQ30" i="4"/>
  <c r="BS30" i="4"/>
  <c r="BN30" i="4"/>
  <c r="S31" i="4"/>
  <c r="U31" i="4"/>
  <c r="P31" i="4"/>
  <c r="AH31" i="4"/>
  <c r="AD31" i="4"/>
  <c r="AC31" i="4"/>
  <c r="AI31" i="4" s="1"/>
  <c r="Q30" i="4"/>
  <c r="R30" i="4"/>
  <c r="V30" i="4"/>
  <c r="AS38" i="4"/>
  <c r="AQ38" i="4"/>
  <c r="AN38" i="4"/>
  <c r="G262" i="9"/>
  <c r="G264" i="9" s="1"/>
  <c r="H257" i="9"/>
  <c r="AO37" i="4"/>
  <c r="AP37" i="4"/>
  <c r="AT37" i="4"/>
  <c r="I219" i="9"/>
  <c r="I235" i="9" s="1"/>
  <c r="I237" i="9" s="1"/>
  <c r="AB32" i="4"/>
  <c r="AG32" i="4"/>
  <c r="AE32" i="4"/>
  <c r="E266" i="9"/>
  <c r="F265" i="9"/>
  <c r="E267" i="9"/>
  <c r="E268" i="9" s="1"/>
  <c r="E276" i="9" s="1"/>
  <c r="E279" i="9" s="1"/>
  <c r="A251" i="2"/>
  <c r="A254" i="2" s="1"/>
  <c r="A259" i="2" s="1"/>
  <c r="A264" i="2" s="1"/>
  <c r="A22" i="10"/>
  <c r="I241" i="9" l="1"/>
  <c r="I244" i="9"/>
  <c r="BS31" i="4"/>
  <c r="BN31" i="4"/>
  <c r="BQ31" i="4"/>
  <c r="BG34" i="4"/>
  <c r="BB34" i="4"/>
  <c r="BC34" i="4"/>
  <c r="F306" i="9"/>
  <c r="F303" i="9"/>
  <c r="A268" i="2"/>
  <c r="A277" i="2" s="1"/>
  <c r="A281" i="2" s="1"/>
  <c r="A284" i="2" s="1"/>
  <c r="A303" i="2" s="1"/>
  <c r="A307" i="2" s="1"/>
  <c r="A310" i="2" s="1"/>
  <c r="A318" i="2" s="1"/>
  <c r="A323" i="2" s="1"/>
  <c r="A327" i="2" s="1"/>
  <c r="A331" i="2" s="1"/>
  <c r="A335" i="2" s="1"/>
  <c r="A340" i="2" s="1"/>
  <c r="A343" i="2" s="1"/>
  <c r="A348" i="2" s="1"/>
  <c r="A350" i="2" s="1"/>
  <c r="A6" i="3" s="1"/>
  <c r="A49" i="14"/>
  <c r="AN39" i="4"/>
  <c r="AS39" i="4"/>
  <c r="AQ39" i="4"/>
  <c r="AE33" i="4"/>
  <c r="AB33" i="4"/>
  <c r="AG33" i="4"/>
  <c r="E282" i="9"/>
  <c r="E298" i="9" s="1"/>
  <c r="E300" i="9" s="1"/>
  <c r="G296" i="9"/>
  <c r="R31" i="4"/>
  <c r="V31" i="4"/>
  <c r="Q31" i="4"/>
  <c r="W31" i="4" s="1"/>
  <c r="BA35" i="4"/>
  <c r="BF35" i="4"/>
  <c r="BD35" i="4"/>
  <c r="AH32" i="4"/>
  <c r="AC32" i="4"/>
  <c r="AI32" i="4" s="1"/>
  <c r="AD32" i="4"/>
  <c r="F266" i="9"/>
  <c r="F267" i="9" s="1"/>
  <c r="F268" i="9" s="1"/>
  <c r="F276" i="9" s="1"/>
  <c r="F279" i="9" s="1"/>
  <c r="G265" i="9"/>
  <c r="E303" i="9"/>
  <c r="E306" i="9"/>
  <c r="W30" i="4"/>
  <c r="AO38" i="4"/>
  <c r="AU38" i="4" s="1"/>
  <c r="AP38" i="4"/>
  <c r="AT38" i="4"/>
  <c r="U32" i="4"/>
  <c r="S32" i="4"/>
  <c r="P32" i="4"/>
  <c r="AU37" i="4"/>
  <c r="I257" i="9"/>
  <c r="H262" i="9"/>
  <c r="H264" i="9" s="1"/>
  <c r="BO30" i="4"/>
  <c r="BP30" i="4"/>
  <c r="BT30" i="4"/>
  <c r="F282" i="9" l="1"/>
  <c r="F298" i="9" s="1"/>
  <c r="F300" i="9" s="1"/>
  <c r="E307" i="9"/>
  <c r="E304" i="9"/>
  <c r="BU30" i="4"/>
  <c r="G302" i="9" s="1"/>
  <c r="H296" i="9"/>
  <c r="BH34" i="4"/>
  <c r="AE34" i="4"/>
  <c r="AG34" i="4"/>
  <c r="AB34" i="4"/>
  <c r="AQ40" i="4"/>
  <c r="AN40" i="4"/>
  <c r="AS40" i="4"/>
  <c r="I262" i="9"/>
  <c r="I264" i="9" s="1"/>
  <c r="D320" i="9"/>
  <c r="BT31" i="4"/>
  <c r="BP31" i="4"/>
  <c r="BO31" i="4"/>
  <c r="AO39" i="4"/>
  <c r="AP39" i="4"/>
  <c r="AT39" i="4"/>
  <c r="R32" i="4"/>
  <c r="V32" i="4"/>
  <c r="Q32" i="4"/>
  <c r="W32" i="4" s="1"/>
  <c r="A14" i="3"/>
  <c r="A13" i="14"/>
  <c r="BS32" i="4"/>
  <c r="BN32" i="4"/>
  <c r="BQ32" i="4"/>
  <c r="H265" i="9"/>
  <c r="G266" i="9"/>
  <c r="G267" i="9"/>
  <c r="G268" i="9" s="1"/>
  <c r="G276" i="9" s="1"/>
  <c r="G279" i="9" s="1"/>
  <c r="BA36" i="4"/>
  <c r="BD36" i="4"/>
  <c r="BF36" i="4"/>
  <c r="U33" i="4"/>
  <c r="S33" i="4"/>
  <c r="P33" i="4"/>
  <c r="BB35" i="4"/>
  <c r="BC35" i="4"/>
  <c r="BG35" i="4"/>
  <c r="AD33" i="4"/>
  <c r="AC33" i="4"/>
  <c r="AI33" i="4" s="1"/>
  <c r="AH33" i="4"/>
  <c r="F304" i="9" l="1"/>
  <c r="F307" i="9"/>
  <c r="G306" i="9"/>
  <c r="G303" i="9"/>
  <c r="AN41" i="4"/>
  <c r="AQ41" i="4"/>
  <c r="AS41" i="4"/>
  <c r="AU39" i="4"/>
  <c r="AT40" i="4"/>
  <c r="AP40" i="4"/>
  <c r="AO40" i="4"/>
  <c r="AU40" i="4" s="1"/>
  <c r="P34" i="4"/>
  <c r="S34" i="4"/>
  <c r="U34" i="4"/>
  <c r="BN33" i="4"/>
  <c r="BS33" i="4"/>
  <c r="BQ33" i="4"/>
  <c r="BB36" i="4"/>
  <c r="BC36" i="4"/>
  <c r="BG36" i="4"/>
  <c r="A25" i="10"/>
  <c r="A23" i="10"/>
  <c r="A22" i="3"/>
  <c r="A32" i="3" s="1"/>
  <c r="A43" i="3" s="1"/>
  <c r="A58" i="3" s="1"/>
  <c r="A66" i="3" s="1"/>
  <c r="A75" i="3" s="1"/>
  <c r="A83" i="3" s="1"/>
  <c r="A91" i="3" s="1"/>
  <c r="A99" i="3" s="1"/>
  <c r="A107" i="3" s="1"/>
  <c r="A119" i="3" s="1"/>
  <c r="A127" i="3" s="1"/>
  <c r="A135" i="3" s="1"/>
  <c r="A143" i="3" s="1"/>
  <c r="A151" i="3" s="1"/>
  <c r="A160" i="3" s="1"/>
  <c r="A166" i="3" s="1"/>
  <c r="A8" i="4" s="1"/>
  <c r="A24" i="10"/>
  <c r="BU31" i="4"/>
  <c r="H302" i="9" s="1"/>
  <c r="AC34" i="4"/>
  <c r="AD34" i="4"/>
  <c r="AH34" i="4"/>
  <c r="G282" i="9"/>
  <c r="G298" i="9" s="1"/>
  <c r="G300" i="9" s="1"/>
  <c r="I296" i="9"/>
  <c r="AE35" i="4"/>
  <c r="AB35" i="4"/>
  <c r="AG35" i="4"/>
  <c r="BP32" i="4"/>
  <c r="BO32" i="4"/>
  <c r="BU32" i="4" s="1"/>
  <c r="I302" i="9" s="1"/>
  <c r="BT32" i="4"/>
  <c r="BF37" i="4"/>
  <c r="BA37" i="4"/>
  <c r="BD37" i="4"/>
  <c r="BH35" i="4"/>
  <c r="Q33" i="4"/>
  <c r="R33" i="4"/>
  <c r="V33" i="4"/>
  <c r="H266" i="9"/>
  <c r="I265" i="9"/>
  <c r="H267" i="9"/>
  <c r="H268" i="9" s="1"/>
  <c r="H276" i="9" s="1"/>
  <c r="H279" i="9" s="1"/>
  <c r="D325" i="9"/>
  <c r="D327" i="9" s="1"/>
  <c r="E320" i="9"/>
  <c r="G304" i="9" l="1"/>
  <c r="G307" i="9"/>
  <c r="I303" i="9"/>
  <c r="I306" i="9"/>
  <c r="H303" i="9"/>
  <c r="H306" i="9"/>
  <c r="BD38" i="4"/>
  <c r="BF38" i="4"/>
  <c r="BA38" i="4"/>
  <c r="A26" i="10"/>
  <c r="A9" i="4"/>
  <c r="BT33" i="4"/>
  <c r="BO33" i="4"/>
  <c r="BU33" i="4" s="1"/>
  <c r="BP33" i="4"/>
  <c r="U35" i="4"/>
  <c r="P35" i="4"/>
  <c r="S35" i="4"/>
  <c r="AQ42" i="4"/>
  <c r="AS42" i="4"/>
  <c r="AN42" i="4"/>
  <c r="D328" i="9"/>
  <c r="I266" i="9"/>
  <c r="I267" i="9" s="1"/>
  <c r="I268" i="9" s="1"/>
  <c r="I276" i="9" s="1"/>
  <c r="I279" i="9" s="1"/>
  <c r="D359" i="9"/>
  <c r="Q34" i="4"/>
  <c r="W34" i="4" s="1"/>
  <c r="R34" i="4"/>
  <c r="V34" i="4"/>
  <c r="AP41" i="4"/>
  <c r="AT41" i="4"/>
  <c r="AO41" i="4"/>
  <c r="W33" i="4"/>
  <c r="D365" i="9" s="1"/>
  <c r="AE36" i="4"/>
  <c r="AG36" i="4"/>
  <c r="AB36" i="4"/>
  <c r="AI34" i="4"/>
  <c r="F320" i="9"/>
  <c r="E325" i="9"/>
  <c r="E327" i="9" s="1"/>
  <c r="AH35" i="4"/>
  <c r="AD35" i="4"/>
  <c r="AC35" i="4"/>
  <c r="AI35" i="4" s="1"/>
  <c r="BH36" i="4"/>
  <c r="H282" i="9"/>
  <c r="H298" i="9" s="1"/>
  <c r="H300" i="9" s="1"/>
  <c r="BC37" i="4"/>
  <c r="BG37" i="4"/>
  <c r="BB37" i="4"/>
  <c r="BS34" i="4"/>
  <c r="BQ34" i="4"/>
  <c r="BN34" i="4"/>
  <c r="H307" i="9" l="1"/>
  <c r="H304" i="9"/>
  <c r="I282" i="9"/>
  <c r="I298" i="9" s="1"/>
  <c r="I300" i="9" s="1"/>
  <c r="BS35" i="4"/>
  <c r="BN35" i="4"/>
  <c r="BQ35" i="4"/>
  <c r="D369" i="9"/>
  <c r="D366" i="9"/>
  <c r="V35" i="4"/>
  <c r="R35" i="4"/>
  <c r="Q35" i="4"/>
  <c r="W35" i="4" s="1"/>
  <c r="BF39" i="4"/>
  <c r="BD39" i="4"/>
  <c r="BA39" i="4"/>
  <c r="BH37" i="4"/>
  <c r="AU41" i="4"/>
  <c r="P36" i="4"/>
  <c r="U36" i="4"/>
  <c r="S36" i="4"/>
  <c r="G320" i="9"/>
  <c r="F325" i="9"/>
  <c r="F327" i="9" s="1"/>
  <c r="D330" i="9"/>
  <c r="D331" i="9" s="1"/>
  <c r="D339" i="9" s="1"/>
  <c r="D342" i="9" s="1"/>
  <c r="E328" i="9"/>
  <c r="D329" i="9"/>
  <c r="BC38" i="4"/>
  <c r="BG38" i="4"/>
  <c r="BB38" i="4"/>
  <c r="BH38" i="4" s="1"/>
  <c r="E359" i="9"/>
  <c r="AP42" i="4"/>
  <c r="AT42" i="4"/>
  <c r="AO42" i="4"/>
  <c r="AU42" i="4" s="1"/>
  <c r="AD36" i="4"/>
  <c r="AH36" i="4"/>
  <c r="AC36" i="4"/>
  <c r="AQ43" i="4"/>
  <c r="AN43" i="4"/>
  <c r="AS43" i="4"/>
  <c r="A27" i="10"/>
  <c r="A10" i="4"/>
  <c r="A11" i="4" s="1"/>
  <c r="A14" i="4" s="1"/>
  <c r="A15" i="4" s="1"/>
  <c r="A16" i="4" s="1"/>
  <c r="A17" i="4" s="1"/>
  <c r="A20" i="4" s="1"/>
  <c r="BO34" i="4"/>
  <c r="BU34" i="4" s="1"/>
  <c r="BT34" i="4"/>
  <c r="BP34" i="4"/>
  <c r="AB37" i="4"/>
  <c r="AE37" i="4"/>
  <c r="AG37" i="4"/>
  <c r="E365" i="9"/>
  <c r="I304" i="9" l="1"/>
  <c r="I307" i="9"/>
  <c r="D345" i="9"/>
  <c r="D361" i="9" s="1"/>
  <c r="D363" i="9" s="1"/>
  <c r="AG38" i="4"/>
  <c r="AB38" i="4"/>
  <c r="AE38" i="4"/>
  <c r="AS44" i="4"/>
  <c r="AQ44" i="4"/>
  <c r="AN44" i="4"/>
  <c r="BC39" i="4"/>
  <c r="BB39" i="4"/>
  <c r="BG39" i="4"/>
  <c r="AT43" i="4"/>
  <c r="AO43" i="4"/>
  <c r="AU43" i="4" s="1"/>
  <c r="AP43" i="4"/>
  <c r="H320" i="9"/>
  <c r="G325" i="9"/>
  <c r="G327" i="9" s="1"/>
  <c r="BT35" i="4"/>
  <c r="F359" i="9" s="1"/>
  <c r="BP35" i="4"/>
  <c r="BO35" i="4"/>
  <c r="BU35" i="4" s="1"/>
  <c r="AD37" i="4"/>
  <c r="AH37" i="4"/>
  <c r="AC37" i="4"/>
  <c r="AI37" i="4" s="1"/>
  <c r="BD40" i="4"/>
  <c r="BA40" i="4"/>
  <c r="BF40" i="4"/>
  <c r="BN36" i="4"/>
  <c r="BS36" i="4"/>
  <c r="BQ36" i="4"/>
  <c r="E330" i="9"/>
  <c r="E331" i="9" s="1"/>
  <c r="E339" i="9" s="1"/>
  <c r="E342" i="9" s="1"/>
  <c r="E329" i="9"/>
  <c r="F328" i="9"/>
  <c r="E369" i="9"/>
  <c r="E366" i="9"/>
  <c r="AI36" i="4"/>
  <c r="F365" i="9"/>
  <c r="U37" i="4"/>
  <c r="S37" i="4"/>
  <c r="P37" i="4"/>
  <c r="A28" i="10"/>
  <c r="A22" i="4"/>
  <c r="A24" i="4" s="1"/>
  <c r="A26" i="4" s="1"/>
  <c r="A28" i="4" s="1"/>
  <c r="A30" i="4" s="1"/>
  <c r="V36" i="4"/>
  <c r="R36" i="4"/>
  <c r="Q36" i="4"/>
  <c r="W36" i="4" s="1"/>
  <c r="D370" i="9" l="1"/>
  <c r="D367" i="9"/>
  <c r="E345" i="9"/>
  <c r="E361" i="9" s="1"/>
  <c r="E363" i="9" s="1"/>
  <c r="AS45" i="4"/>
  <c r="AQ45" i="4"/>
  <c r="AN45" i="4"/>
  <c r="U38" i="4"/>
  <c r="S38" i="4"/>
  <c r="P38" i="4"/>
  <c r="F369" i="9"/>
  <c r="F366" i="9"/>
  <c r="AC38" i="4"/>
  <c r="AI38" i="4" s="1"/>
  <c r="AD38" i="4"/>
  <c r="AH38" i="4"/>
  <c r="BT36" i="4"/>
  <c r="BP36" i="4"/>
  <c r="BO36" i="4"/>
  <c r="BH39" i="4"/>
  <c r="AG39" i="4"/>
  <c r="AB39" i="4"/>
  <c r="AE39" i="4"/>
  <c r="BA41" i="4"/>
  <c r="BD41" i="4"/>
  <c r="BF41" i="4"/>
  <c r="G359" i="9"/>
  <c r="A29" i="10"/>
  <c r="A33" i="4"/>
  <c r="BB40" i="4"/>
  <c r="BC40" i="4"/>
  <c r="BG40" i="4"/>
  <c r="F329" i="9"/>
  <c r="F330" i="9" s="1"/>
  <c r="F331" i="9" s="1"/>
  <c r="F339" i="9" s="1"/>
  <c r="F342" i="9" s="1"/>
  <c r="G328" i="9"/>
  <c r="H325" i="9"/>
  <c r="H327" i="9" s="1"/>
  <c r="I320" i="9"/>
  <c r="I325" i="9" s="1"/>
  <c r="I327" i="9" s="1"/>
  <c r="AP44" i="4"/>
  <c r="AO44" i="4"/>
  <c r="AU44" i="4" s="1"/>
  <c r="AT44" i="4"/>
  <c r="BQ37" i="4"/>
  <c r="BS37" i="4"/>
  <c r="BN37" i="4"/>
  <c r="R37" i="4"/>
  <c r="V37" i="4"/>
  <c r="Q37" i="4"/>
  <c r="F345" i="9" l="1"/>
  <c r="F361" i="9" s="1"/>
  <c r="F363" i="9" s="1"/>
  <c r="E370" i="9"/>
  <c r="E367" i="9"/>
  <c r="U39" i="4"/>
  <c r="S39" i="4"/>
  <c r="P39" i="4"/>
  <c r="W37" i="4"/>
  <c r="H365" i="9" s="1"/>
  <c r="BH40" i="4"/>
  <c r="BB41" i="4"/>
  <c r="BH41" i="4" s="1"/>
  <c r="BC41" i="4"/>
  <c r="BG41" i="4"/>
  <c r="AP45" i="4"/>
  <c r="AO45" i="4"/>
  <c r="AU45" i="4" s="1"/>
  <c r="AT45" i="4"/>
  <c r="A34" i="4"/>
  <c r="A35" i="4" s="1"/>
  <c r="A36" i="4" s="1"/>
  <c r="A38" i="4" s="1"/>
  <c r="A41" i="4" s="1"/>
  <c r="A30" i="10"/>
  <c r="AC39" i="4"/>
  <c r="AD39" i="4"/>
  <c r="AH39" i="4"/>
  <c r="AQ46" i="4"/>
  <c r="AN46" i="4"/>
  <c r="AS46" i="4"/>
  <c r="BP37" i="4"/>
  <c r="BO37" i="4"/>
  <c r="BU37" i="4" s="1"/>
  <c r="BT37" i="4"/>
  <c r="H359" i="9" s="1"/>
  <c r="H328" i="9"/>
  <c r="G329" i="9"/>
  <c r="G330" i="9"/>
  <c r="G331" i="9" s="1"/>
  <c r="G339" i="9" s="1"/>
  <c r="G342" i="9" s="1"/>
  <c r="BN38" i="4"/>
  <c r="BS38" i="4"/>
  <c r="BQ38" i="4"/>
  <c r="AG40" i="4"/>
  <c r="AB40" i="4"/>
  <c r="AE40" i="4"/>
  <c r="BU36" i="4"/>
  <c r="G365" i="9" s="1"/>
  <c r="R38" i="4"/>
  <c r="V38" i="4"/>
  <c r="Q38" i="4"/>
  <c r="W38" i="4" s="1"/>
  <c r="BD42" i="4"/>
  <c r="BF42" i="4"/>
  <c r="BA42" i="4"/>
  <c r="F367" i="9" l="1"/>
  <c r="F370" i="9"/>
  <c r="BQ39" i="4"/>
  <c r="BS39" i="4"/>
  <c r="BN39" i="4"/>
  <c r="I359" i="9"/>
  <c r="AP46" i="4"/>
  <c r="AT46" i="4"/>
  <c r="AO46" i="4"/>
  <c r="G363" i="9"/>
  <c r="G345" i="9"/>
  <c r="G361" i="9" s="1"/>
  <c r="H369" i="9"/>
  <c r="H366" i="9"/>
  <c r="G369" i="9"/>
  <c r="G366" i="9"/>
  <c r="R39" i="4"/>
  <c r="V39" i="4"/>
  <c r="Q39" i="4"/>
  <c r="BT38" i="4"/>
  <c r="BO38" i="4"/>
  <c r="BP38" i="4"/>
  <c r="BG42" i="4"/>
  <c r="BB42" i="4"/>
  <c r="BC42" i="4"/>
  <c r="BD43" i="4"/>
  <c r="BA43" i="4"/>
  <c r="BF43" i="4"/>
  <c r="AQ47" i="4"/>
  <c r="AN47" i="4"/>
  <c r="AS47" i="4"/>
  <c r="A43" i="4"/>
  <c r="A31" i="10"/>
  <c r="I328" i="9"/>
  <c r="H329" i="9"/>
  <c r="H330" i="9" s="1"/>
  <c r="H331" i="9" s="1"/>
  <c r="H339" i="9" s="1"/>
  <c r="H342" i="9" s="1"/>
  <c r="AH40" i="4"/>
  <c r="AD40" i="4"/>
  <c r="AC40" i="4"/>
  <c r="AI39" i="4"/>
  <c r="U40" i="4"/>
  <c r="P40" i="4"/>
  <c r="S40" i="4"/>
  <c r="AB41" i="4"/>
  <c r="AG41" i="4"/>
  <c r="AE41" i="4"/>
  <c r="H345" i="9" l="1"/>
  <c r="H361" i="9" s="1"/>
  <c r="H363" i="9" s="1"/>
  <c r="AT47" i="4"/>
  <c r="AP47" i="4"/>
  <c r="AO47" i="4"/>
  <c r="AU47" i="4" s="1"/>
  <c r="A46" i="4"/>
  <c r="A32" i="10"/>
  <c r="AI40" i="4"/>
  <c r="AQ48" i="4"/>
  <c r="AS48" i="4"/>
  <c r="AN48" i="4"/>
  <c r="BH42" i="4"/>
  <c r="AG42" i="4"/>
  <c r="AB42" i="4"/>
  <c r="AE42" i="4"/>
  <c r="BP39" i="4"/>
  <c r="BO39" i="4"/>
  <c r="BU39" i="4" s="1"/>
  <c r="BT39" i="4"/>
  <c r="BU38" i="4"/>
  <c r="I365" i="9" s="1"/>
  <c r="BN40" i="4"/>
  <c r="BS40" i="4"/>
  <c r="BQ40" i="4"/>
  <c r="AH41" i="4"/>
  <c r="AD41" i="4"/>
  <c r="AC41" i="4"/>
  <c r="AI41" i="4" s="1"/>
  <c r="BF44" i="4"/>
  <c r="BA44" i="4"/>
  <c r="BD44" i="4"/>
  <c r="Q40" i="4"/>
  <c r="R40" i="4"/>
  <c r="V40" i="4"/>
  <c r="I329" i="9"/>
  <c r="I330" i="9"/>
  <c r="I331" i="9" s="1"/>
  <c r="I339" i="9" s="1"/>
  <c r="I342" i="9" s="1"/>
  <c r="BG43" i="4"/>
  <c r="BB43" i="4"/>
  <c r="BH43" i="4" s="1"/>
  <c r="BC43" i="4"/>
  <c r="W39" i="4"/>
  <c r="G367" i="9"/>
  <c r="G370" i="9"/>
  <c r="S41" i="4"/>
  <c r="P41" i="4"/>
  <c r="U41" i="4"/>
  <c r="AU46" i="4"/>
  <c r="H367" i="9" l="1"/>
  <c r="H370" i="9"/>
  <c r="I369" i="9"/>
  <c r="I366" i="9"/>
  <c r="U42" i="4"/>
  <c r="P42" i="4"/>
  <c r="S42" i="4"/>
  <c r="BF45" i="4"/>
  <c r="BA45" i="4"/>
  <c r="BD45" i="4"/>
  <c r="AS49" i="4"/>
  <c r="AN49" i="4"/>
  <c r="AQ49" i="4"/>
  <c r="I363" i="9"/>
  <c r="I345" i="9"/>
  <c r="I361" i="9" s="1"/>
  <c r="AO48" i="4"/>
  <c r="AU48" i="4" s="1"/>
  <c r="AT48" i="4"/>
  <c r="AP48" i="4"/>
  <c r="AD42" i="4"/>
  <c r="AC42" i="4"/>
  <c r="AI42" i="4" s="1"/>
  <c r="AH42" i="4"/>
  <c r="A49" i="4"/>
  <c r="A52" i="4" s="1"/>
  <c r="A61" i="4" s="1"/>
  <c r="A33" i="10"/>
  <c r="W40" i="4"/>
  <c r="BN41" i="4"/>
  <c r="BS41" i="4"/>
  <c r="BQ41" i="4"/>
  <c r="AG43" i="4"/>
  <c r="AB43" i="4"/>
  <c r="AE43" i="4"/>
  <c r="BO40" i="4"/>
  <c r="BT40" i="4"/>
  <c r="BP40" i="4"/>
  <c r="BC44" i="4"/>
  <c r="BG44" i="4"/>
  <c r="BB44" i="4"/>
  <c r="BH44" i="4" s="1"/>
  <c r="R41" i="4"/>
  <c r="V41" i="4"/>
  <c r="Q41" i="4"/>
  <c r="BC45" i="4" l="1"/>
  <c r="BB45" i="4"/>
  <c r="BH45" i="4" s="1"/>
  <c r="BG45" i="4"/>
  <c r="BD46" i="4"/>
  <c r="BA46" i="4"/>
  <c r="BF46" i="4"/>
  <c r="W41" i="4"/>
  <c r="BU40" i="4"/>
  <c r="BO41" i="4"/>
  <c r="BP41" i="4"/>
  <c r="BT41" i="4"/>
  <c r="A34" i="10"/>
  <c r="A63" i="4"/>
  <c r="I370" i="9"/>
  <c r="I367" i="9"/>
  <c r="R42" i="4"/>
  <c r="Q42" i="4"/>
  <c r="V42" i="4"/>
  <c r="AH43" i="4"/>
  <c r="AC43" i="4"/>
  <c r="AI43" i="4" s="1"/>
  <c r="AD43" i="4"/>
  <c r="U43" i="4"/>
  <c r="P43" i="4"/>
  <c r="S43" i="4"/>
  <c r="AT49" i="4"/>
  <c r="AP49" i="4"/>
  <c r="AO49" i="4"/>
  <c r="AQ50" i="4"/>
  <c r="AS50" i="4"/>
  <c r="AN50" i="4"/>
  <c r="AB44" i="4"/>
  <c r="AG44" i="4"/>
  <c r="AE44" i="4"/>
  <c r="BQ42" i="4"/>
  <c r="BN42" i="4"/>
  <c r="BS42" i="4"/>
  <c r="AC44" i="4" l="1"/>
  <c r="AD44" i="4"/>
  <c r="AH44" i="4"/>
  <c r="Q43" i="4"/>
  <c r="R43" i="4"/>
  <c r="V43" i="4"/>
  <c r="AP50" i="4"/>
  <c r="AT50" i="4"/>
  <c r="AO50" i="4"/>
  <c r="P44" i="4"/>
  <c r="U44" i="4"/>
  <c r="S44" i="4"/>
  <c r="BA47" i="4"/>
  <c r="BD47" i="4"/>
  <c r="BF47" i="4"/>
  <c r="AN51" i="4"/>
  <c r="AS51" i="4"/>
  <c r="AQ51" i="4"/>
  <c r="A35" i="10"/>
  <c r="A66" i="4"/>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BG46" i="4"/>
  <c r="BB46" i="4"/>
  <c r="BH46" i="4" s="1"/>
  <c r="BC46" i="4"/>
  <c r="AB45" i="4"/>
  <c r="AG45" i="4"/>
  <c r="AE45" i="4"/>
  <c r="BN43" i="4"/>
  <c r="BS43" i="4"/>
  <c r="BQ43" i="4"/>
  <c r="BT42" i="4"/>
  <c r="BP42" i="4"/>
  <c r="BO42" i="4"/>
  <c r="AU49" i="4"/>
  <c r="W42" i="4"/>
  <c r="BU41" i="4"/>
  <c r="Q44" i="4" l="1"/>
  <c r="V44" i="4"/>
  <c r="R44" i="4"/>
  <c r="BU42" i="4"/>
  <c r="AC45" i="4"/>
  <c r="AH45" i="4"/>
  <c r="AD45" i="4"/>
  <c r="AT51" i="4"/>
  <c r="AP51" i="4"/>
  <c r="AO51" i="4"/>
  <c r="AU51" i="4" s="1"/>
  <c r="BA48" i="4"/>
  <c r="BD48" i="4"/>
  <c r="BF48" i="4"/>
  <c r="BG47" i="4"/>
  <c r="BB47" i="4"/>
  <c r="BH47" i="4" s="1"/>
  <c r="BC47" i="4"/>
  <c r="A116" i="4"/>
  <c r="A36" i="10"/>
  <c r="W43" i="4"/>
  <c r="BN44" i="4"/>
  <c r="BQ44" i="4"/>
  <c r="BS44" i="4"/>
  <c r="BO43" i="4"/>
  <c r="BU43" i="4" s="1"/>
  <c r="BP43" i="4"/>
  <c r="BT43" i="4"/>
  <c r="U45" i="4"/>
  <c r="S45" i="4"/>
  <c r="P45" i="4"/>
  <c r="AE46" i="4"/>
  <c r="AB46" i="4"/>
  <c r="AG46" i="4"/>
  <c r="AS52" i="4"/>
  <c r="AN52" i="4"/>
  <c r="AQ52" i="4"/>
  <c r="AU50" i="4"/>
  <c r="AI44" i="4"/>
  <c r="AN53" i="4" l="1"/>
  <c r="AS53" i="4"/>
  <c r="AQ53" i="4"/>
  <c r="BF49" i="4"/>
  <c r="BA49" i="4"/>
  <c r="BD49" i="4"/>
  <c r="AI45" i="4"/>
  <c r="BP44" i="4"/>
  <c r="BT44" i="4"/>
  <c r="BO44" i="4"/>
  <c r="BS45" i="4"/>
  <c r="BQ45" i="4"/>
  <c r="BN45" i="4"/>
  <c r="V45" i="4"/>
  <c r="R45" i="4"/>
  <c r="Q45" i="4"/>
  <c r="BB48" i="4"/>
  <c r="BG48" i="4"/>
  <c r="BC48" i="4"/>
  <c r="AE47" i="4"/>
  <c r="AG47" i="4"/>
  <c r="AB47" i="4"/>
  <c r="AC46" i="4"/>
  <c r="AI46" i="4" s="1"/>
  <c r="AH46" i="4"/>
  <c r="AD46" i="4"/>
  <c r="U46" i="4"/>
  <c r="S46" i="4"/>
  <c r="P46" i="4"/>
  <c r="AO52" i="4"/>
  <c r="AT52" i="4"/>
  <c r="AP52" i="4"/>
  <c r="A117" i="4"/>
  <c r="A118" i="4" s="1"/>
  <c r="A37" i="10"/>
  <c r="C37" i="10" s="1"/>
  <c r="W44" i="4"/>
  <c r="A48" i="10" l="1"/>
  <c r="A120" i="4"/>
  <c r="A127" i="4" s="1"/>
  <c r="A128" i="4" s="1"/>
  <c r="A129" i="4" s="1"/>
  <c r="W45" i="4"/>
  <c r="AH47" i="4"/>
  <c r="AD47" i="4"/>
  <c r="AC47" i="4"/>
  <c r="AI47" i="4" s="1"/>
  <c r="AU52" i="4"/>
  <c r="AB48" i="4"/>
  <c r="AG48" i="4"/>
  <c r="AE48" i="4"/>
  <c r="BT45" i="4"/>
  <c r="BP45" i="4"/>
  <c r="BO45" i="4"/>
  <c r="BB49" i="4"/>
  <c r="BH49" i="4" s="1"/>
  <c r="BC49" i="4"/>
  <c r="BG49" i="4"/>
  <c r="Q46" i="4"/>
  <c r="V46" i="4"/>
  <c r="R46" i="4"/>
  <c r="BD50" i="4"/>
  <c r="BF50" i="4"/>
  <c r="BA50" i="4"/>
  <c r="BQ46" i="4"/>
  <c r="BS46" i="4"/>
  <c r="BN46" i="4"/>
  <c r="U47" i="4"/>
  <c r="P47" i="4"/>
  <c r="S47" i="4"/>
  <c r="BU44" i="4"/>
  <c r="AN54" i="4"/>
  <c r="AQ54" i="4"/>
  <c r="AS54" i="4"/>
  <c r="BH48" i="4"/>
  <c r="AP53" i="4"/>
  <c r="AO53" i="4"/>
  <c r="AT53" i="4"/>
  <c r="AD48" i="4" l="1"/>
  <c r="AH48" i="4"/>
  <c r="AC48" i="4"/>
  <c r="AI48" i="4" s="1"/>
  <c r="AQ55" i="4"/>
  <c r="AS55" i="4"/>
  <c r="AN55" i="4"/>
  <c r="AT54" i="4"/>
  <c r="AO54" i="4"/>
  <c r="AU54" i="4" s="1"/>
  <c r="AP54" i="4"/>
  <c r="BD51" i="4"/>
  <c r="BF51" i="4"/>
  <c r="BA51" i="4"/>
  <c r="BU45" i="4"/>
  <c r="S48" i="4"/>
  <c r="U48" i="4"/>
  <c r="P48" i="4"/>
  <c r="BC50" i="4"/>
  <c r="BB50" i="4"/>
  <c r="BH50" i="4" s="1"/>
  <c r="BG50" i="4"/>
  <c r="BN47" i="4"/>
  <c r="BS47" i="4"/>
  <c r="BQ47" i="4"/>
  <c r="AU53" i="4"/>
  <c r="R47" i="4"/>
  <c r="Q47" i="4"/>
  <c r="V47" i="4"/>
  <c r="A131" i="4"/>
  <c r="A132" i="4" s="1"/>
  <c r="A49" i="10"/>
  <c r="A50" i="10"/>
  <c r="BP46" i="4"/>
  <c r="BT46" i="4"/>
  <c r="BO46" i="4"/>
  <c r="BU46" i="4" s="1"/>
  <c r="W46" i="4"/>
  <c r="AB49" i="4"/>
  <c r="AE49" i="4"/>
  <c r="AG49" i="4"/>
  <c r="V48" i="4" l="1"/>
  <c r="R48" i="4"/>
  <c r="Q48" i="4"/>
  <c r="W48" i="4" s="1"/>
  <c r="AN56" i="4"/>
  <c r="AQ56" i="4"/>
  <c r="AS56" i="4"/>
  <c r="BO47" i="4"/>
  <c r="BU47" i="4" s="1"/>
  <c r="BT47" i="4"/>
  <c r="BP47" i="4"/>
  <c r="BA52" i="4"/>
  <c r="BF52" i="4"/>
  <c r="BD52" i="4"/>
  <c r="BN48" i="4"/>
  <c r="BS48" i="4"/>
  <c r="BQ48" i="4"/>
  <c r="BB51" i="4"/>
  <c r="BH51" i="4" s="1"/>
  <c r="BG51" i="4"/>
  <c r="BC51" i="4"/>
  <c r="A52" i="10"/>
  <c r="A133" i="4"/>
  <c r="A136" i="4" s="1"/>
  <c r="A51" i="10"/>
  <c r="S49" i="4"/>
  <c r="P49" i="4"/>
  <c r="U49" i="4"/>
  <c r="AO55" i="4"/>
  <c r="AU55" i="4" s="1"/>
  <c r="AP55" i="4"/>
  <c r="AT55" i="4"/>
  <c r="AE50" i="4"/>
  <c r="AG50" i="4"/>
  <c r="AB50" i="4"/>
  <c r="AC49" i="4"/>
  <c r="AD49" i="4"/>
  <c r="AH49" i="4"/>
  <c r="W47" i="4"/>
  <c r="BN49" i="4" l="1"/>
  <c r="BQ49" i="4"/>
  <c r="BS49" i="4"/>
  <c r="AQ57" i="4"/>
  <c r="AN57" i="4"/>
  <c r="AS57" i="4"/>
  <c r="U50" i="4"/>
  <c r="P50" i="4"/>
  <c r="S50" i="4"/>
  <c r="BP48" i="4"/>
  <c r="BO48" i="4"/>
  <c r="BU48" i="4" s="1"/>
  <c r="BT48" i="4"/>
  <c r="AO56" i="4"/>
  <c r="AT56" i="4"/>
  <c r="AP56" i="4"/>
  <c r="AE51" i="4"/>
  <c r="AG51" i="4"/>
  <c r="AB51" i="4"/>
  <c r="BA53" i="4"/>
  <c r="BD53" i="4"/>
  <c r="BF53" i="4"/>
  <c r="AI49" i="4"/>
  <c r="A53" i="10"/>
  <c r="A137" i="4"/>
  <c r="BC52" i="4"/>
  <c r="BB52" i="4"/>
  <c r="BH52" i="4" s="1"/>
  <c r="BG52" i="4"/>
  <c r="Q49" i="4"/>
  <c r="R49" i="4"/>
  <c r="V49" i="4"/>
  <c r="AH50" i="4"/>
  <c r="AD50" i="4"/>
  <c r="AC50" i="4"/>
  <c r="V50" i="4" l="1"/>
  <c r="Q50" i="4"/>
  <c r="R50" i="4"/>
  <c r="A138" i="4"/>
  <c r="A54" i="10"/>
  <c r="AT57" i="4"/>
  <c r="AO57" i="4"/>
  <c r="AU57" i="4" s="1"/>
  <c r="AP57" i="4"/>
  <c r="P51" i="4"/>
  <c r="U51" i="4"/>
  <c r="S51" i="4"/>
  <c r="AS58" i="4"/>
  <c r="AN58" i="4"/>
  <c r="AQ58" i="4"/>
  <c r="BN50" i="4"/>
  <c r="BQ50" i="4"/>
  <c r="BS50" i="4"/>
  <c r="AU56" i="4"/>
  <c r="AD51" i="4"/>
  <c r="AC51" i="4"/>
  <c r="AI51" i="4" s="1"/>
  <c r="AH51" i="4"/>
  <c r="BA54" i="4"/>
  <c r="BD54" i="4"/>
  <c r="BF54" i="4"/>
  <c r="W49" i="4"/>
  <c r="BC53" i="4"/>
  <c r="BG53" i="4"/>
  <c r="BB53" i="4"/>
  <c r="BH53" i="4" s="1"/>
  <c r="AI50" i="4"/>
  <c r="AE52" i="4"/>
  <c r="AB52" i="4"/>
  <c r="AG52" i="4"/>
  <c r="BO49" i="4"/>
  <c r="BU49" i="4" s="1"/>
  <c r="BP49" i="4"/>
  <c r="BT49" i="4"/>
  <c r="AE53" i="4" l="1"/>
  <c r="AB53" i="4"/>
  <c r="AG53" i="4"/>
  <c r="BF55" i="4"/>
  <c r="BA55" i="4"/>
  <c r="BD55" i="4"/>
  <c r="BO50" i="4"/>
  <c r="BU50" i="4" s="1"/>
  <c r="BT50" i="4"/>
  <c r="BP50" i="4"/>
  <c r="BC54" i="4"/>
  <c r="BG54" i="4"/>
  <c r="BB54" i="4"/>
  <c r="BH54" i="4" s="1"/>
  <c r="AO58" i="4"/>
  <c r="AT58" i="4"/>
  <c r="AP58" i="4"/>
  <c r="A55" i="10"/>
  <c r="A139" i="4"/>
  <c r="A140" i="4" s="1"/>
  <c r="AD52" i="4"/>
  <c r="AC52" i="4"/>
  <c r="AI52" i="4" s="1"/>
  <c r="AH52" i="4"/>
  <c r="S52" i="4"/>
  <c r="P52" i="4"/>
  <c r="U52" i="4"/>
  <c r="W50" i="4"/>
  <c r="BQ51" i="4"/>
  <c r="BS51" i="4"/>
  <c r="BN51" i="4"/>
  <c r="V51" i="4"/>
  <c r="Q51" i="4"/>
  <c r="R51" i="4"/>
  <c r="P53" i="4" l="1"/>
  <c r="U53" i="4"/>
  <c r="S53" i="4"/>
  <c r="AU58" i="4"/>
  <c r="BC55" i="4"/>
  <c r="BG55" i="4"/>
  <c r="BB55" i="4"/>
  <c r="BH55" i="4" s="1"/>
  <c r="V52" i="4"/>
  <c r="Q52" i="4"/>
  <c r="R52" i="4"/>
  <c r="BA56" i="4"/>
  <c r="BD56" i="4"/>
  <c r="BF56" i="4"/>
  <c r="W51" i="4"/>
  <c r="BO51" i="4"/>
  <c r="BU51" i="4" s="1"/>
  <c r="BT51" i="4"/>
  <c r="BP51" i="4"/>
  <c r="AE54" i="4"/>
  <c r="AB54" i="4"/>
  <c r="AG54" i="4"/>
  <c r="BQ52" i="4"/>
  <c r="BS52" i="4"/>
  <c r="BN52" i="4"/>
  <c r="AD53" i="4"/>
  <c r="AH53" i="4"/>
  <c r="AC53" i="4"/>
  <c r="A56" i="10"/>
  <c r="A141" i="4"/>
  <c r="BP52" i="4" l="1"/>
  <c r="BO52" i="4"/>
  <c r="BU52" i="4" s="1"/>
  <c r="BT52" i="4"/>
  <c r="BA57" i="4"/>
  <c r="BD57" i="4"/>
  <c r="BF57" i="4"/>
  <c r="AE55" i="4"/>
  <c r="AG55" i="4"/>
  <c r="AB55" i="4"/>
  <c r="BS53" i="4"/>
  <c r="BQ53" i="4"/>
  <c r="BN53" i="4"/>
  <c r="AH54" i="4"/>
  <c r="AC54" i="4"/>
  <c r="AD54" i="4"/>
  <c r="BB56" i="4"/>
  <c r="BH56" i="4" s="1"/>
  <c r="BG56" i="4"/>
  <c r="BC56" i="4"/>
  <c r="AI53" i="4"/>
  <c r="U54" i="4"/>
  <c r="S54" i="4"/>
  <c r="P54" i="4"/>
  <c r="A57" i="10"/>
  <c r="A142" i="4"/>
  <c r="W52" i="4"/>
  <c r="V53" i="4"/>
  <c r="Q53" i="4"/>
  <c r="R53" i="4"/>
  <c r="AB56" i="4" l="1"/>
  <c r="AG56" i="4"/>
  <c r="AE56" i="4"/>
  <c r="BA58" i="4"/>
  <c r="BF58" i="4"/>
  <c r="BD58" i="4"/>
  <c r="A143" i="4"/>
  <c r="A58" i="10"/>
  <c r="S55" i="4"/>
  <c r="U55" i="4"/>
  <c r="P55" i="4"/>
  <c r="BO53" i="4"/>
  <c r="BT53" i="4"/>
  <c r="BP53" i="4"/>
  <c r="BB57" i="4"/>
  <c r="BH57" i="4" s="1"/>
  <c r="BG57" i="4"/>
  <c r="BC57" i="4"/>
  <c r="R54" i="4"/>
  <c r="V54" i="4"/>
  <c r="Q54" i="4"/>
  <c r="W54" i="4" s="1"/>
  <c r="BS54" i="4"/>
  <c r="BN54" i="4"/>
  <c r="BQ54" i="4"/>
  <c r="AI54" i="4"/>
  <c r="W53" i="4"/>
  <c r="AD55" i="4"/>
  <c r="AC55" i="4"/>
  <c r="AI55" i="4" s="1"/>
  <c r="AH55" i="4"/>
  <c r="A59" i="10" l="1"/>
  <c r="A144" i="4"/>
  <c r="BG58" i="4"/>
  <c r="BC58" i="4"/>
  <c r="BB58" i="4"/>
  <c r="BH58" i="4" s="1"/>
  <c r="BU53" i="4"/>
  <c r="V55" i="4"/>
  <c r="R55" i="4"/>
  <c r="Q55" i="4"/>
  <c r="BP54" i="4"/>
  <c r="BT54" i="4"/>
  <c r="BO54" i="4"/>
  <c r="BQ55" i="4"/>
  <c r="BS55" i="4"/>
  <c r="BN55" i="4"/>
  <c r="P56" i="4"/>
  <c r="U56" i="4"/>
  <c r="S56" i="4"/>
  <c r="AB57" i="4"/>
  <c r="AE57" i="4"/>
  <c r="AG57" i="4"/>
  <c r="AC56" i="4"/>
  <c r="AD56" i="4"/>
  <c r="AH56" i="4"/>
  <c r="BN56" i="4" l="1"/>
  <c r="BQ56" i="4"/>
  <c r="BS56" i="4"/>
  <c r="AI56" i="4"/>
  <c r="AE58" i="4"/>
  <c r="AG58" i="4"/>
  <c r="AB58" i="4"/>
  <c r="V56" i="4"/>
  <c r="Q56" i="4"/>
  <c r="R56" i="4"/>
  <c r="BP55" i="4"/>
  <c r="BT55" i="4"/>
  <c r="BO55" i="4"/>
  <c r="BU55" i="4" s="1"/>
  <c r="BU54" i="4"/>
  <c r="AC57" i="4"/>
  <c r="AI57" i="4" s="1"/>
  <c r="AH57" i="4"/>
  <c r="AD57" i="4"/>
  <c r="A60" i="10"/>
  <c r="A145" i="4"/>
  <c r="U57" i="4"/>
  <c r="P57" i="4"/>
  <c r="S57" i="4"/>
  <c r="W55" i="4"/>
  <c r="AH58" i="4" l="1"/>
  <c r="AD58" i="4"/>
  <c r="AC58" i="4"/>
  <c r="AI58" i="4" s="1"/>
  <c r="S58" i="4"/>
  <c r="P58" i="4"/>
  <c r="U58" i="4"/>
  <c r="A61" i="10"/>
  <c r="A146" i="4"/>
  <c r="BN57" i="4"/>
  <c r="BS57" i="4"/>
  <c r="BQ57" i="4"/>
  <c r="Q57" i="4"/>
  <c r="W57" i="4" s="1"/>
  <c r="R57" i="4"/>
  <c r="V57" i="4"/>
  <c r="W56" i="4"/>
  <c r="BT56" i="4"/>
  <c r="BP56" i="4"/>
  <c r="BO56" i="4"/>
  <c r="BU56" i="4" s="1"/>
  <c r="Q58" i="4" l="1"/>
  <c r="V58" i="4"/>
  <c r="R58" i="4"/>
  <c r="BQ58" i="4"/>
  <c r="BN58" i="4"/>
  <c r="BS58" i="4"/>
  <c r="A62" i="10"/>
  <c r="A147" i="4"/>
  <c r="BT57" i="4"/>
  <c r="BO57" i="4"/>
  <c r="BP57" i="4"/>
  <c r="A148" i="4" l="1"/>
  <c r="A63" i="10"/>
  <c r="BO58" i="4"/>
  <c r="BU58" i="4" s="1"/>
  <c r="BP58" i="4"/>
  <c r="BT58" i="4"/>
  <c r="BU57" i="4"/>
  <c r="W58" i="4"/>
  <c r="A64" i="10" l="1"/>
  <c r="A149" i="4"/>
  <c r="A65" i="10" l="1"/>
  <c r="A150" i="4"/>
  <c r="A66" i="10" l="1"/>
  <c r="A151" i="4"/>
  <c r="A67" i="10" l="1"/>
  <c r="A152" i="4"/>
  <c r="A68" i="10" l="1"/>
  <c r="A153" i="4"/>
  <c r="A154" i="4" s="1"/>
  <c r="A155" i="4" s="1"/>
  <c r="A156" i="4" s="1"/>
  <c r="A157" i="4" s="1"/>
  <c r="A158" i="4" s="1"/>
  <c r="A159" i="4" s="1"/>
  <c r="A160" i="4" s="1"/>
  <c r="A161" i="4" s="1"/>
  <c r="A70" i="10" l="1"/>
  <c r="A69" i="10"/>
  <c r="A162" i="4"/>
  <c r="A164" i="4" l="1"/>
  <c r="A167" i="4" s="1"/>
  <c r="A168" i="4" s="1"/>
  <c r="A71" i="10"/>
  <c r="A169" i="4" l="1"/>
  <c r="A72" i="10"/>
  <c r="A73" i="10" l="1"/>
  <c r="A171" i="4"/>
  <c r="A173" i="4" s="1"/>
  <c r="A181" i="4" s="1"/>
  <c r="A185" i="4" s="1"/>
  <c r="A186" i="4" s="1"/>
  <c r="A187" i="4" s="1"/>
  <c r="A188" i="4" s="1"/>
  <c r="A189" i="4" s="1"/>
  <c r="A190" i="4" s="1"/>
  <c r="A191" i="4" s="1"/>
  <c r="A192" i="4" l="1"/>
  <c r="A194" i="4" s="1"/>
  <c r="A195" i="4" s="1"/>
  <c r="A196" i="4" s="1"/>
  <c r="A197" i="4" s="1"/>
  <c r="A198" i="4" s="1"/>
  <c r="A199" i="4" s="1"/>
  <c r="A201" i="4" s="1"/>
  <c r="A203" i="4" s="1"/>
  <c r="A75" i="10"/>
  <c r="A74" i="10"/>
  <c r="A76" i="10" l="1"/>
  <c r="A218" i="4"/>
  <c r="A219" i="4" s="1"/>
  <c r="A220" i="4" s="1"/>
  <c r="A223" i="4" s="1"/>
  <c r="A225" i="4" l="1"/>
  <c r="A7" i="5" s="1"/>
  <c r="A77" i="10"/>
  <c r="A15" i="5" l="1"/>
  <c r="A78" i="10"/>
  <c r="A79" i="10" l="1"/>
  <c r="A23" i="5"/>
  <c r="A31" i="5" l="1"/>
  <c r="A80" i="10"/>
  <c r="A81" i="10" l="1"/>
  <c r="A39" i="5"/>
  <c r="A48" i="5" s="1"/>
  <c r="A51" i="5" l="1"/>
  <c r="A83" i="10"/>
  <c r="A82" i="10"/>
  <c r="A57" i="5" l="1"/>
  <c r="A59" i="5" s="1"/>
  <c r="A67" i="5" s="1"/>
  <c r="A84" i="10"/>
  <c r="A68" i="5" l="1"/>
  <c r="A85" i="10"/>
  <c r="A86" i="10" l="1"/>
  <c r="A69" i="5"/>
  <c r="A87" i="10" l="1"/>
  <c r="A70" i="5"/>
  <c r="A71" i="5" l="1"/>
  <c r="A88" i="10"/>
  <c r="A89" i="10" l="1"/>
  <c r="A72" i="5"/>
  <c r="A75" i="5" s="1"/>
  <c r="A76" i="5" l="1"/>
  <c r="A90" i="10"/>
  <c r="A77" i="5" l="1"/>
  <c r="A91" i="10"/>
  <c r="A92" i="10" l="1"/>
  <c r="A78" i="5"/>
  <c r="A79" i="5" l="1"/>
  <c r="A93" i="10"/>
  <c r="A80" i="5" l="1"/>
  <c r="A94" i="10"/>
  <c r="A95" i="10" l="1"/>
  <c r="A81" i="5"/>
  <c r="A96" i="10" l="1"/>
  <c r="A82" i="5"/>
  <c r="A90" i="5" s="1"/>
  <c r="A91" i="5" s="1"/>
  <c r="A92" i="5" s="1"/>
  <c r="A94" i="5" s="1"/>
  <c r="A119" i="5" s="1"/>
  <c r="A125" i="5" s="1"/>
  <c r="A97" i="10" l="1"/>
  <c r="A127" i="5"/>
  <c r="A128" i="5" s="1"/>
  <c r="A129" i="5" s="1"/>
  <c r="A130" i="5" s="1"/>
  <c r="A131" i="5" s="1"/>
  <c r="A132" i="5" s="1"/>
  <c r="A133" i="5" s="1"/>
  <c r="A134" i="5" s="1"/>
  <c r="A135" i="5" s="1"/>
  <c r="A136" i="5" s="1"/>
  <c r="A137" i="5" s="1"/>
  <c r="A138" i="5" s="1"/>
  <c r="A139" i="5" s="1"/>
  <c r="A141" i="5" s="1"/>
  <c r="A142" i="5" s="1"/>
  <c r="A143" i="5" s="1"/>
  <c r="A144" i="5" s="1"/>
  <c r="A145" i="5" s="1"/>
  <c r="A146" i="5" s="1"/>
  <c r="A147" i="5" s="1"/>
  <c r="A148" i="5" s="1"/>
  <c r="A149" i="5" s="1"/>
  <c r="A150" i="5" s="1"/>
  <c r="A151" i="5" s="1"/>
  <c r="A152" i="5" s="1"/>
  <c r="A153" i="5" s="1"/>
  <c r="A155" i="5" s="1"/>
  <c r="A159" i="5" s="1"/>
  <c r="A161" i="5" s="1"/>
  <c r="A162" i="5" s="1"/>
  <c r="A163" i="5" s="1"/>
  <c r="A164" i="5" s="1"/>
  <c r="A165" i="5" s="1"/>
  <c r="A167" i="5" s="1"/>
  <c r="A169" i="5" s="1"/>
  <c r="A171" i="5" s="1"/>
  <c r="A172" i="5" s="1"/>
  <c r="A173" i="5" s="1"/>
  <c r="A174" i="5" s="1"/>
  <c r="A175" i="5" s="1"/>
  <c r="A176" i="5" s="1"/>
  <c r="A178" i="5" s="1"/>
  <c r="A98" i="10" l="1"/>
  <c r="A184" i="5"/>
  <c r="A109" i="10" l="1"/>
  <c r="A185" i="5"/>
  <c r="A186" i="5" l="1"/>
  <c r="A110" i="10"/>
  <c r="A111" i="10" l="1"/>
  <c r="C111" i="10" s="1"/>
  <c r="A191" i="5"/>
  <c r="A192" i="5" s="1"/>
  <c r="A196" i="5" s="1"/>
  <c r="A197" i="5" s="1"/>
  <c r="A198" i="5" s="1"/>
  <c r="A199" i="5" s="1"/>
  <c r="A201" i="5" s="1"/>
  <c r="A203" i="5" s="1"/>
  <c r="A205" i="5" s="1"/>
  <c r="A207" i="5" s="1"/>
  <c r="A212" i="5" s="1"/>
  <c r="A214" i="5" s="1"/>
  <c r="A226" i="5" s="1"/>
  <c r="A240" i="5" s="1"/>
  <c r="A241" i="5" s="1"/>
  <c r="A242" i="5" s="1"/>
  <c r="A243" i="5" s="1"/>
  <c r="A244" i="5" s="1"/>
  <c r="A245" i="5" s="1"/>
  <c r="A246" i="5" s="1"/>
  <c r="A248" i="5" s="1"/>
  <c r="A249" i="5" s="1"/>
  <c r="A250" i="5" s="1"/>
  <c r="A253" i="5" s="1"/>
  <c r="A254" i="5" s="1"/>
  <c r="A255" i="5" s="1"/>
  <c r="A256" i="5" s="1"/>
  <c r="A257" i="5" s="1"/>
  <c r="A258" i="5" s="1"/>
  <c r="A259" i="5" s="1"/>
  <c r="A260" i="5" s="1"/>
  <c r="A261" i="5" s="1"/>
  <c r="A262" i="5" s="1"/>
  <c r="A263" i="5" s="1"/>
  <c r="A265" i="5" s="1"/>
  <c r="A268" i="5" s="1"/>
  <c r="A8" i="6" s="1"/>
  <c r="A9" i="6" s="1"/>
  <c r="A11" i="6" s="1"/>
  <c r="A12" i="6" s="1"/>
  <c r="A14" i="6" s="1"/>
  <c r="A15" i="6" s="1"/>
  <c r="A16" i="6" s="1"/>
  <c r="A112" i="10" l="1"/>
  <c r="A17" i="6"/>
  <c r="A113" i="10" l="1"/>
  <c r="A19" i="6"/>
  <c r="A20" i="6" s="1"/>
  <c r="A21" i="6" s="1"/>
  <c r="A23" i="6" s="1"/>
  <c r="A27" i="6" s="1"/>
  <c r="A28" i="6" s="1"/>
  <c r="A32" i="6" s="1"/>
  <c r="A36" i="6" s="1"/>
  <c r="A37" i="6" s="1"/>
  <c r="A38" i="6" s="1"/>
  <c r="A39" i="6" s="1"/>
  <c r="A40" i="6" s="1"/>
  <c r="A41" i="6" s="1"/>
  <c r="A42" i="6" s="1"/>
  <c r="A43" i="6" s="1"/>
  <c r="A114" i="10" l="1"/>
  <c r="A44" i="6"/>
  <c r="A45" i="6" s="1"/>
  <c r="A46" i="6" s="1"/>
  <c r="A47" i="6" s="1"/>
  <c r="A48" i="6" s="1"/>
  <c r="A50" i="6" s="1"/>
  <c r="A64" i="6" l="1"/>
  <c r="A65" i="6" s="1"/>
  <c r="A66" i="6" s="1"/>
  <c r="A68" i="6" s="1"/>
  <c r="A69" i="6" s="1"/>
  <c r="A70"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1" i="6" s="1"/>
  <c r="A104" i="6" s="1"/>
  <c r="A105" i="6" s="1"/>
  <c r="A106" i="6" s="1"/>
  <c r="A108" i="6" s="1"/>
  <c r="A110" i="6" s="1"/>
  <c r="A112" i="6" s="1"/>
  <c r="A1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Gateway Client</author>
    <author>Niall O'Farrell</author>
    <author>Shalini Konduri</author>
    <author>Niall O' Farrell</author>
    <author>Kate LaPine</author>
  </authors>
  <commentList>
    <comment ref="A7" authorId="0" shapeId="0" xr:uid="{00000000-0006-0000-0000-000001000000}">
      <text>
        <r>
          <rPr>
            <b/>
            <sz val="8"/>
            <color indexed="81"/>
            <rFont val="Tahoma"/>
            <family val="2"/>
          </rPr>
          <t>Indicate the project's name.  If it doesn't have one, give a working title, perhaps using the address.</t>
        </r>
      </text>
    </comment>
    <comment ref="A11" authorId="0" shapeId="0" xr:uid="{00000000-0006-0000-0000-000002000000}">
      <text>
        <r>
          <rPr>
            <b/>
            <sz val="8"/>
            <color indexed="81"/>
            <rFont val="Tahoma"/>
            <family val="2"/>
          </rPr>
          <t>If there is more than one address, please attach a list of additional address to Exhibit 1: Site Information</t>
        </r>
      </text>
    </comment>
    <comment ref="A12" authorId="0" shapeId="0" xr:uid="{00000000-0006-0000-0000-000003000000}">
      <text>
        <r>
          <rPr>
            <b/>
            <sz val="8"/>
            <color indexed="81"/>
            <rFont val="Tahoma"/>
            <family val="2"/>
          </rPr>
          <t>Indicate the name of the neighborhood where the project is located.  Also include the census tract.</t>
        </r>
      </text>
    </comment>
    <comment ref="A13" authorId="0" shapeId="0" xr:uid="{00000000-0006-0000-0000-000004000000}">
      <text>
        <r>
          <rPr>
            <b/>
            <sz val="8"/>
            <color indexed="81"/>
            <rFont val="Tahoma"/>
            <family val="2"/>
          </rPr>
          <t xml:space="preserve">Enter the city or town name and the zip code.
</t>
        </r>
      </text>
    </comment>
    <comment ref="A17" authorId="0" shapeId="0" xr:uid="{00000000-0006-0000-0000-000005000000}">
      <text>
        <r>
          <rPr>
            <b/>
            <sz val="8"/>
            <color indexed="81"/>
            <rFont val="Tahoma"/>
            <family val="2"/>
          </rPr>
          <t>If the project includes more than one site, click the check box and include a list of addresses in Exhibit 1.</t>
        </r>
      </text>
    </comment>
    <comment ref="A21" authorId="0" shapeId="0" xr:uid="{00000000-0006-0000-0000-000006000000}">
      <text>
        <r>
          <rPr>
            <b/>
            <sz val="8"/>
            <color indexed="81"/>
            <rFont val="Tahoma"/>
            <family val="2"/>
          </rPr>
          <t>See the list of areas designated as qualified census tracts or difficult to develop areas published by HUD.</t>
        </r>
      </text>
    </comment>
    <comment ref="A25" authorId="0" shapeId="0" xr:uid="{00000000-0006-0000-0000-000007000000}">
      <text>
        <r>
          <rPr>
            <b/>
            <sz val="8"/>
            <color indexed="81"/>
            <rFont val="Tahoma"/>
            <family val="2"/>
          </rPr>
          <t>Check all that apply:
Substantial rehab means $20,000 or more of rehabilitation work per apartment.
Moderate rehbab means $5,000 to $20,000 of rehabilitation work per apartment.
Minimal rehab is less than $5,000 of rehabilitation per apartment.
Adaptive reuse is the conversion of a non-residential building, like a school or factory to housing.</t>
        </r>
      </text>
    </comment>
    <comment ref="A33" authorId="0" shapeId="0" xr:uid="{00000000-0006-0000-0000-000008000000}">
      <text>
        <r>
          <rPr>
            <b/>
            <sz val="8"/>
            <color indexed="81"/>
            <rFont val="Tahoma"/>
            <family val="2"/>
          </rPr>
          <t>Pick the housing type from the drop down list or type in your answer on the "Other" line.</t>
        </r>
      </text>
    </comment>
    <comment ref="A36" authorId="0" shapeId="0" xr:uid="{00000000-0006-0000-0000-000009000000}">
      <text>
        <r>
          <rPr>
            <b/>
            <sz val="8"/>
            <color indexed="81"/>
            <rFont val="Tahoma"/>
            <family val="2"/>
          </rPr>
          <t>Please describe the proposed project in a few sentences.  Be sure to include who the project will serve, the current condition of the site, its ownership and whether this is a distressed property. Also specify the number of stories in each building.</t>
        </r>
      </text>
    </comment>
    <comment ref="A47" authorId="0" shapeId="0" xr:uid="{00000000-0006-0000-0000-00000A000000}">
      <text>
        <r>
          <rPr>
            <b/>
            <sz val="8"/>
            <color indexed="81"/>
            <rFont val="Tahoma"/>
            <family val="2"/>
          </rPr>
          <t>Place your original estimate of the development schedule in the original column.  As you make revisions change the date in the revised column.</t>
        </r>
      </text>
    </comment>
    <comment ref="K56" authorId="1" shapeId="0" xr:uid="{00000000-0006-0000-0000-00000B000000}">
      <text>
        <r>
          <rPr>
            <sz val="8"/>
            <color indexed="81"/>
            <rFont val="Tahoma"/>
            <family val="2"/>
          </rPr>
          <t xml:space="preserve">
</t>
        </r>
      </text>
    </comment>
    <comment ref="K57" authorId="1" shapeId="0" xr:uid="{00000000-0006-0000-0000-00000C000000}">
      <text>
        <r>
          <rPr>
            <sz val="8"/>
            <color indexed="81"/>
            <rFont val="Tahoma"/>
            <family val="2"/>
          </rPr>
          <t xml:space="preserve">
</t>
        </r>
      </text>
    </comment>
    <comment ref="A64" authorId="0" shapeId="0" xr:uid="{00000000-0006-0000-0000-00000D000000}">
      <text>
        <r>
          <rPr>
            <b/>
            <sz val="8"/>
            <color indexed="81"/>
            <rFont val="Tahoma"/>
            <family val="2"/>
          </rPr>
          <t>Low-income rental assisted means the apartments will receive project based rental assistance.
Low-income below 50% refers to households whose incomes are below 50% of median income for the region, adjusted for household size.  This group is sometimes called very-low income in HUD program materials.
Low-income 60% refers to  households whose incomes are below 60% of median income for the region, adjusted for household size.
If your development is serving an income group other than one listed on the table, please define the income group at the bottom of the table and use the Other Income category.
Please use the bottom row to show the number of HOME units.</t>
        </r>
      </text>
    </comment>
    <comment ref="A76" authorId="0" shapeId="0" xr:uid="{00000000-0006-0000-0000-00000E000000}">
      <text>
        <r>
          <rPr>
            <b/>
            <sz val="8"/>
            <color indexed="81"/>
            <rFont val="Tahoma"/>
            <family val="2"/>
          </rPr>
          <t xml:space="preserve">Show the size of the apartments in square feet, by bed room size and income group.  The green shaded column on the right will automatically calculate the average square footage across all income groups. </t>
        </r>
      </text>
    </comment>
    <comment ref="L78" authorId="2" shapeId="0" xr:uid="{00000000-0006-0000-0000-00000F000000}">
      <text>
        <r>
          <rPr>
            <b/>
            <sz val="8"/>
            <color indexed="81"/>
            <rFont val="Tahoma"/>
            <family val="2"/>
          </rPr>
          <t>Shalini Konduri:</t>
        </r>
        <r>
          <rPr>
            <sz val="8"/>
            <color indexed="81"/>
            <rFont val="Tahoma"/>
            <family val="2"/>
          </rPr>
          <t xml:space="preserve">
the following cells have been coded so that when square feet has to be entered, the color changes to red
</t>
        </r>
      </text>
    </comment>
    <comment ref="K85" authorId="1" shapeId="0" xr:uid="{00000000-0006-0000-0000-000010000000}">
      <text>
        <r>
          <rPr>
            <sz val="8"/>
            <color indexed="81"/>
            <rFont val="Tahoma"/>
            <family val="2"/>
          </rPr>
          <t xml:space="preserve">
</t>
        </r>
      </text>
    </comment>
    <comment ref="A86" authorId="0" shapeId="0" xr:uid="{00000000-0006-0000-0000-000011000000}">
      <text>
        <r>
          <rPr>
            <b/>
            <sz val="8"/>
            <color indexed="81"/>
            <rFont val="Tahoma"/>
            <family val="2"/>
          </rPr>
          <t>Enter the number of bathrooms for each apartment type.</t>
        </r>
      </text>
    </comment>
    <comment ref="L88" authorId="2" shapeId="0" xr:uid="{00000000-0006-0000-0000-000012000000}">
      <text>
        <r>
          <rPr>
            <b/>
            <sz val="8"/>
            <color indexed="81"/>
            <rFont val="Tahoma"/>
            <family val="2"/>
          </rPr>
          <t>Shalini Konduri:</t>
        </r>
        <r>
          <rPr>
            <sz val="8"/>
            <color indexed="81"/>
            <rFont val="Tahoma"/>
            <family val="2"/>
          </rPr>
          <t xml:space="preserve">
the following cells have been coded so that when square feet has to be entered, the color changes to red
</t>
        </r>
      </text>
    </comment>
    <comment ref="A96" authorId="3" shapeId="0" xr:uid="{00000000-0006-0000-0000-000013000000}">
      <text>
        <r>
          <rPr>
            <b/>
            <sz val="8"/>
            <color indexed="81"/>
            <rFont val="Tahoma"/>
            <family val="2"/>
          </rPr>
          <t xml:space="preserve">Please list the agencies that you are applying to </t>
        </r>
        <r>
          <rPr>
            <b/>
            <i/>
            <u/>
            <sz val="8"/>
            <color indexed="81"/>
            <rFont val="Tahoma"/>
            <family val="2"/>
          </rPr>
          <t>at this time</t>
        </r>
        <r>
          <rPr>
            <b/>
            <sz val="8"/>
            <color indexed="81"/>
            <rFont val="Tahoma"/>
            <family val="2"/>
          </rPr>
          <t>.</t>
        </r>
        <r>
          <rPr>
            <sz val="8"/>
            <color indexed="81"/>
            <rFont val="Tahoma"/>
            <family val="2"/>
          </rPr>
          <t xml:space="preserve">
</t>
        </r>
      </text>
    </comment>
    <comment ref="K107" authorId="2" shapeId="0" xr:uid="{00000000-0006-0000-0000-000014000000}">
      <text>
        <r>
          <rPr>
            <sz val="8"/>
            <color indexed="81"/>
            <rFont val="Tahoma"/>
            <family val="2"/>
          </rPr>
          <t xml:space="preserve">
</t>
        </r>
      </text>
    </comment>
    <comment ref="A128" authorId="4" shapeId="0" xr:uid="{00000000-0006-0000-0000-000015000000}">
      <text>
        <r>
          <rPr>
            <b/>
            <sz val="8"/>
            <color indexed="81"/>
            <rFont val="Tahoma"/>
            <family val="2"/>
          </rPr>
          <t>List the number of buildings to be constructed or rehabilitated.  The Low/Mid rise category includes buildings with 2 to 5 stories.</t>
        </r>
        <r>
          <rPr>
            <sz val="8"/>
            <color indexed="81"/>
            <rFont val="Tahoma"/>
            <family val="2"/>
          </rPr>
          <t xml:space="preserve">
</t>
        </r>
      </text>
    </comment>
    <comment ref="A137" authorId="3" shapeId="0" xr:uid="{00000000-0006-0000-0000-000016000000}">
      <text>
        <r>
          <rPr>
            <b/>
            <sz val="8"/>
            <color indexed="81"/>
            <rFont val="Tahoma"/>
            <family val="2"/>
          </rPr>
          <t>List the number of apartments that are new construction and how many are to be rehabilitated.</t>
        </r>
        <r>
          <rPr>
            <sz val="8"/>
            <color indexed="81"/>
            <rFont val="Tahoma"/>
            <family val="2"/>
          </rPr>
          <t xml:space="preserve">
</t>
        </r>
      </text>
    </comment>
    <comment ref="A139" authorId="3" shapeId="0" xr:uid="{00000000-0006-0000-0000-000017000000}">
      <text>
        <r>
          <rPr>
            <b/>
            <sz val="8"/>
            <color indexed="81"/>
            <rFont val="Tahoma"/>
            <family val="2"/>
          </rPr>
          <t>List the amount of gross square footage by new construction and rehabilitation.</t>
        </r>
      </text>
    </comment>
    <comment ref="A143" authorId="4" shapeId="0" xr:uid="{00000000-0006-0000-0000-000018000000}">
      <text>
        <r>
          <rPr>
            <b/>
            <sz val="8"/>
            <color indexed="81"/>
            <rFont val="Tahoma"/>
            <family val="2"/>
          </rPr>
          <t>List the amount of commerical space. The residential number is calculated based on question 12.</t>
        </r>
      </text>
    </comment>
    <comment ref="A149" authorId="4" shapeId="0" xr:uid="{00000000-0006-0000-0000-000019000000}">
      <text>
        <r>
          <rPr>
            <b/>
            <sz val="8"/>
            <color indexed="81"/>
            <rFont val="Tahoma"/>
            <family val="2"/>
          </rPr>
          <t xml:space="preserve">Choose the appropriate type from the drop-down list.  If you choose "Other", please fill in details in the yellow box. </t>
        </r>
      </text>
    </comment>
    <comment ref="A189" authorId="4" shapeId="0" xr:uid="{00000000-0006-0000-0000-00001A000000}">
      <text>
        <r>
          <rPr>
            <b/>
            <sz val="8"/>
            <color indexed="81"/>
            <rFont val="Tahoma"/>
            <family val="2"/>
          </rPr>
          <t>Relocation question tied to the answer given in question 9.</t>
        </r>
        <r>
          <rPr>
            <sz val="8"/>
            <color indexed="81"/>
            <rFont val="Tahoma"/>
            <family val="2"/>
          </rPr>
          <t xml:space="preserve">
</t>
        </r>
      </text>
    </comment>
    <comment ref="A215" authorId="3" shapeId="0" xr:uid="{00000000-0006-0000-0000-00001B000000}">
      <text>
        <r>
          <rPr>
            <b/>
            <sz val="8"/>
            <color indexed="81"/>
            <rFont val="Tahoma"/>
            <family val="2"/>
          </rPr>
          <t>Enter the square feet.</t>
        </r>
      </text>
    </comment>
    <comment ref="A217" authorId="0" shapeId="0" xr:uid="{00000000-0006-0000-0000-00001C000000}">
      <text>
        <r>
          <rPr>
            <b/>
            <sz val="8"/>
            <color indexed="81"/>
            <rFont val="Tahoma"/>
            <family val="2"/>
          </rPr>
          <t>This is the portion of the site which can be built upon.  Exclude areas that can not be built upon because of wet lands, extreme slope or ledge.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 LaPine</author>
    <author>Shalini Konduri</author>
    <author>Valued Gateway Client</author>
  </authors>
  <commentList>
    <comment ref="A14" authorId="0" shapeId="0" xr:uid="{00000000-0006-0000-0100-000001000000}">
      <text>
        <r>
          <rPr>
            <b/>
            <sz val="8"/>
            <color indexed="81"/>
            <rFont val="Tahoma"/>
            <family val="2"/>
          </rPr>
          <t>Fill in the information for all members of the development team.  If a single party is fufilling several roles, then write "same as number ___ above".</t>
        </r>
      </text>
    </comment>
    <comment ref="D20" authorId="1" shapeId="0" xr:uid="{00000000-0006-0000-0100-000002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30" authorId="1" shapeId="0" xr:uid="{00000000-0006-0000-0100-000003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40" authorId="1" shapeId="0" xr:uid="{00000000-0006-0000-0100-000004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51" authorId="1" shapeId="0" xr:uid="{00000000-0006-0000-0100-000005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63" authorId="1" shapeId="0" xr:uid="{00000000-0006-0000-0100-000006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72" authorId="1" shapeId="0" xr:uid="{00000000-0006-0000-0100-000007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80" authorId="1" shapeId="0" xr:uid="{00000000-0006-0000-0100-000008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88" authorId="1" shapeId="0" xr:uid="{00000000-0006-0000-0100-000009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96" authorId="1" shapeId="0" xr:uid="{00000000-0006-0000-0100-00000A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104" authorId="1" shapeId="0" xr:uid="{00000000-0006-0000-0100-00000B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112" authorId="1" shapeId="0" xr:uid="{00000000-0006-0000-0100-00000C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124" authorId="1" shapeId="0" xr:uid="{00000000-0006-0000-0100-00000D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132" authorId="1" shapeId="0" xr:uid="{00000000-0006-0000-0100-00000E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140" authorId="1" shapeId="0" xr:uid="{00000000-0006-0000-0100-00000F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148" authorId="1" shapeId="0" xr:uid="{00000000-0006-0000-0100-000010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D156" authorId="1" shapeId="0" xr:uid="{00000000-0006-0000-0100-000011000000}">
      <text>
        <r>
          <rPr>
            <b/>
            <sz val="8"/>
            <color indexed="81"/>
            <rFont val="Tahoma"/>
            <family val="2"/>
          </rPr>
          <t>Please enter the phone and fax numbers as plain 10-digit numbers without any formatting (no  parathesis, hyphens etc.).</t>
        </r>
        <r>
          <rPr>
            <sz val="8"/>
            <color indexed="81"/>
            <rFont val="Tahoma"/>
            <family val="2"/>
          </rPr>
          <t xml:space="preserve">
</t>
        </r>
      </text>
    </comment>
    <comment ref="A160" authorId="2" shapeId="0" xr:uid="{00000000-0006-0000-0100-000012000000}">
      <text>
        <r>
          <rPr>
            <b/>
            <sz val="8"/>
            <color indexed="81"/>
            <rFont val="Tahoma"/>
            <family val="2"/>
          </rPr>
          <t>Indicate any situation where there is an identity of interest.  
Examples include an affiliate of the developer who is the general contractor or an affiliate of the general partner who is the property manager.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Gateway Client</author>
    <author>Charles Wibiralske</author>
    <author>Niall O'Farrell</author>
    <author>Kate LaPine</author>
  </authors>
  <commentList>
    <comment ref="A8" authorId="0" shapeId="0" xr:uid="{00000000-0006-0000-0200-000001000000}">
      <text>
        <r>
          <rPr>
            <b/>
            <sz val="8"/>
            <color indexed="81"/>
            <rFont val="Tahoma"/>
            <family val="2"/>
          </rPr>
          <t>Fill in the amount of cash equity contributed by the developer.  This might include funds already spent in the development budget, where the developer  is going to be reimbursed.</t>
        </r>
      </text>
    </comment>
    <comment ref="A9" authorId="0" shapeId="0" xr:uid="{00000000-0006-0000-0200-000002000000}">
      <text>
        <r>
          <rPr>
            <b/>
            <sz val="8"/>
            <color indexed="81"/>
            <rFont val="Tahoma"/>
            <family val="2"/>
          </rPr>
          <t>Fill in the amount to be raise through the syndication of Low Income Housing Tax Credits.</t>
        </r>
      </text>
    </comment>
    <comment ref="A10" authorId="0" shapeId="0" xr:uid="{00000000-0006-0000-0200-000003000000}">
      <text>
        <r>
          <rPr>
            <b/>
            <sz val="8"/>
            <color indexed="81"/>
            <rFont val="Tahoma"/>
            <family val="2"/>
          </rPr>
          <t>Include in this line any of the developer's fee and overhead which are being contributed or lent by the developer.</t>
        </r>
      </text>
    </comment>
    <comment ref="A14" authorId="0" shapeId="0" xr:uid="{00000000-0006-0000-0200-000004000000}">
      <text>
        <r>
          <rPr>
            <b/>
            <sz val="8"/>
            <color indexed="81"/>
            <rFont val="Tahoma"/>
            <family val="2"/>
          </rPr>
          <t>Note: it is more likely that HOME funds will be structured as subordinate debt.</t>
        </r>
      </text>
    </comment>
    <comment ref="A20" authorId="0" shapeId="0" xr:uid="{00000000-0006-0000-0200-000005000000}">
      <text>
        <r>
          <rPr>
            <b/>
            <sz val="8"/>
            <color indexed="81"/>
            <rFont val="Tahoma"/>
            <family val="2"/>
          </rPr>
          <t>Subordinate debt means any debt whose repayment is deferred or is conditional based on cash flow.</t>
        </r>
      </text>
    </comment>
    <comment ref="A63" authorId="0" shapeId="0" xr:uid="{00000000-0006-0000-0200-000006000000}">
      <text>
        <r>
          <rPr>
            <b/>
            <sz val="8"/>
            <color indexed="81"/>
            <rFont val="Tahoma"/>
            <family val="2"/>
          </rPr>
          <t>Indicate the basis for the cost estimate.  For example, the cost estimate is based on a review of the plans and specifications, or the cost estimate is based on a cursory review of the scope of work.</t>
        </r>
      </text>
    </comment>
    <comment ref="A116" authorId="0" shapeId="0" xr:uid="{00000000-0006-0000-0200-000007000000}">
      <text>
        <r>
          <rPr>
            <b/>
            <sz val="8"/>
            <color indexed="81"/>
            <rFont val="Tahoma"/>
            <family val="2"/>
          </rPr>
          <t>Be sure to explain the basis for this figure.  (For example, fixed percentage.)</t>
        </r>
      </text>
    </comment>
    <comment ref="A117" authorId="0" shapeId="0" xr:uid="{00000000-0006-0000-0200-000008000000}">
      <text>
        <r>
          <rPr>
            <b/>
            <sz val="8"/>
            <color indexed="81"/>
            <rFont val="Tahoma"/>
            <family val="2"/>
          </rPr>
          <t>Be sure to explain the basis for this figure.  (For example, fixed percentage.)</t>
        </r>
      </text>
    </comment>
    <comment ref="A127" authorId="0" shapeId="0" xr:uid="{00000000-0006-0000-0200-000009000000}">
      <text>
        <r>
          <rPr>
            <b/>
            <sz val="8"/>
            <color indexed="81"/>
            <rFont val="Tahoma"/>
            <family val="2"/>
          </rPr>
          <t>When the site includes existing buildings, you may have to estimate the allocation of the purchase price between land and buildings.</t>
        </r>
      </text>
    </comment>
    <comment ref="A131" authorId="0" shapeId="0" xr:uid="{00000000-0006-0000-0200-00000A000000}">
      <text>
        <r>
          <rPr>
            <b/>
            <sz val="8"/>
            <color indexed="81"/>
            <rFont val="Tahoma"/>
            <family val="2"/>
          </rPr>
          <t>Direct construction is from line 159.  Please allocate this amount between residential and commercial as applicable.</t>
        </r>
      </text>
    </comment>
    <comment ref="A132" authorId="0" shapeId="0" xr:uid="{00000000-0006-0000-0200-00000B000000}">
      <text>
        <r>
          <rPr>
            <b/>
            <sz val="8"/>
            <color indexed="81"/>
            <rFont val="Tahoma"/>
            <family val="2"/>
          </rPr>
          <t>Include an amount for construction contingency.  If the amount is low,  below 5%, or high, above 10%, attach an explanation.</t>
        </r>
      </text>
    </comment>
    <comment ref="A154" authorId="1" shapeId="0" xr:uid="{00000000-0006-0000-0200-00000C000000}">
      <text>
        <r>
          <rPr>
            <b/>
            <sz val="8"/>
            <color indexed="81"/>
            <rFont val="Tahoma"/>
            <family val="2"/>
          </rPr>
          <t>Mortgage Insurance Premium
during the development period</t>
        </r>
      </text>
    </comment>
    <comment ref="A161" authorId="0" shapeId="0" xr:uid="{00000000-0006-0000-0200-00000D000000}">
      <text>
        <r>
          <rPr>
            <b/>
            <sz val="8"/>
            <color indexed="81"/>
            <rFont val="Tahoma"/>
            <family val="2"/>
          </rPr>
          <t>Include an amount for soft cost contingency.  If the amount is low,  below 5%, or high, above 10%, attach an explanation.</t>
        </r>
      </text>
    </comment>
    <comment ref="A167" authorId="0" shapeId="0" xr:uid="{00000000-0006-0000-0200-00000E000000}">
      <text>
        <r>
          <rPr>
            <b/>
            <sz val="8"/>
            <color indexed="81"/>
            <rFont val="Tahoma"/>
            <family val="2"/>
          </rPr>
          <t>These are the reserves that are capitalized and funded out of the development budget.  Generally, this number should equal the amount on line 213.</t>
        </r>
      </text>
    </comment>
    <comment ref="A173" authorId="2" shapeId="0" xr:uid="{00000000-0006-0000-0200-00000F000000}">
      <text>
        <r>
          <rPr>
            <b/>
            <sz val="8"/>
            <color indexed="81"/>
            <rFont val="Tahoma"/>
            <family val="2"/>
          </rPr>
          <t>Net Total Development Cost does not include capitalized reserves nor any Developer Fees or overhead which are contributed or lent to the project.</t>
        </r>
      </text>
    </comment>
    <comment ref="A225" authorId="3" shapeId="0" xr:uid="{00000000-0006-0000-0200-000010000000}">
      <text>
        <r>
          <rPr>
            <b/>
            <sz val="8"/>
            <color indexed="81"/>
            <rFont val="Tahoma"/>
            <family val="2"/>
          </rPr>
          <t>If the HUD subsidy layering review has already been started, then please attach information on the progress of the review.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Niall O'Farrell</author>
    <author>Kate LaPine</author>
    <author>Niall O' Farrell</author>
  </authors>
  <commentList>
    <comment ref="H7" authorId="0" shapeId="0" xr:uid="{00000000-0006-0000-0300-000001000000}">
      <text>
        <r>
          <rPr>
            <b/>
            <sz val="8"/>
            <color indexed="81"/>
            <rFont val="Tahoma"/>
            <family val="2"/>
          </rPr>
          <t>Gross Rent equals contract rent plus utility allowance</t>
        </r>
        <r>
          <rPr>
            <sz val="8"/>
            <color indexed="81"/>
            <rFont val="Tahoma"/>
            <family val="2"/>
          </rPr>
          <t xml:space="preserve">
</t>
        </r>
      </text>
    </comment>
    <comment ref="A48" authorId="1" shapeId="0" xr:uid="{00000000-0006-0000-0300-000002000000}">
      <text>
        <r>
          <rPr>
            <b/>
            <sz val="8"/>
            <color indexed="81"/>
            <rFont val="Tahoma"/>
            <family val="2"/>
          </rPr>
          <t>If there are different commercial rates, enter the average rent per square foot.</t>
        </r>
      </text>
    </comment>
    <comment ref="A51" authorId="1" shapeId="0" xr:uid="{00000000-0006-0000-0300-000003000000}">
      <text>
        <r>
          <rPr>
            <b/>
            <sz val="8"/>
            <color indexed="81"/>
            <rFont val="Tahoma"/>
            <family val="2"/>
          </rPr>
          <t>If there are different parking rates, enter the average parking rate.</t>
        </r>
      </text>
    </comment>
    <comment ref="A135" authorId="1" shapeId="0" xr:uid="{00000000-0006-0000-0300-000004000000}">
      <text>
        <r>
          <rPr>
            <b/>
            <sz val="8"/>
            <color indexed="81"/>
            <rFont val="Tahoma"/>
            <family val="2"/>
          </rPr>
          <t>This line only applies to developments applying for Low Income Housing Tax Credits.</t>
        </r>
      </text>
    </comment>
    <comment ref="A136" authorId="1" shapeId="0" xr:uid="{00000000-0006-0000-0300-000005000000}">
      <text>
        <r>
          <rPr>
            <b/>
            <sz val="8"/>
            <color indexed="81"/>
            <rFont val="Tahoma"/>
            <family val="2"/>
          </rPr>
          <t>This line only applies to developments applying for Low Income Housing Tax Credits.</t>
        </r>
      </text>
    </comment>
    <comment ref="A155" authorId="1" shapeId="0" xr:uid="{00000000-0006-0000-0300-000006000000}">
      <text>
        <r>
          <rPr>
            <b/>
            <sz val="8"/>
            <color indexed="81"/>
            <rFont val="Tahoma"/>
            <family val="2"/>
          </rPr>
          <t>List the cost of services that the development will provide or coordinate for the residents.  Use the text box to the right for a brief explanation.</t>
        </r>
      </text>
    </comment>
    <comment ref="A186" authorId="0" shapeId="0" xr:uid="{00000000-0006-0000-0300-000007000000}">
      <text>
        <r>
          <rPr>
            <b/>
            <sz val="8"/>
            <color indexed="81"/>
            <rFont val="Tahoma"/>
            <family val="2"/>
          </rPr>
          <t xml:space="preserve"> Management Fees are assumed to remain a constant percentage of net effective operating income.</t>
        </r>
      </text>
    </comment>
    <comment ref="A212" authorId="2" shapeId="0" xr:uid="{00000000-0006-0000-0300-000008000000}">
      <text>
        <r>
          <rPr>
            <b/>
            <sz val="8"/>
            <color indexed="81"/>
            <rFont val="Tahoma"/>
            <family val="2"/>
          </rPr>
          <t xml:space="preserve">The county name that appears here is the same as was chosen in #222. Please choose the correct MSA for this county, from the dropdown list. If the selected MSA does not correspond to the chosen county, an error message will indicate this.
</t>
        </r>
        <r>
          <rPr>
            <sz val="8"/>
            <color indexed="81"/>
            <rFont val="Tahoma"/>
            <family val="2"/>
          </rPr>
          <t xml:space="preserve">
</t>
        </r>
      </text>
    </comment>
    <comment ref="A268" authorId="0" shapeId="0" xr:uid="{00000000-0006-0000-0300-000009000000}">
      <text>
        <r>
          <rPr>
            <b/>
            <sz val="8"/>
            <color indexed="81"/>
            <rFont val="Tahoma"/>
            <family val="2"/>
          </rPr>
          <t>Please describe the proposed transaction below.  When is the current owner eligible to prepay the mortgage, opt out of a regulatory agreement or opt out of the Section 8 program?
Discuss pre-preservation operations, post-preservation operations, and reasons for changes.  Also include who the project serves and the current condition of the site.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Kate LaPine</author>
    <author>Shalini Konduri</author>
  </authors>
  <commentList>
    <comment ref="A15" authorId="0" shapeId="0" xr:uid="{00000000-0006-0000-0400-000001000000}">
      <text>
        <r>
          <rPr>
            <b/>
            <sz val="8"/>
            <color indexed="81"/>
            <rFont val="Tahoma"/>
            <family val="2"/>
          </rPr>
          <t>Answer yes if the development is using tax-exempt bonds.</t>
        </r>
      </text>
    </comment>
    <comment ref="A16" authorId="0" shapeId="0" xr:uid="{00000000-0006-0000-0400-000002000000}">
      <text>
        <r>
          <rPr>
            <b/>
            <sz val="8"/>
            <color indexed="81"/>
            <rFont val="Tahoma"/>
            <family val="2"/>
          </rPr>
          <t>A development qualifies for an acquisition credit if ten years have elapsed since the building was placed in service or occupied.  If it has been less than ten years the building still may qualify; check with your tax advisor.</t>
        </r>
      </text>
    </comment>
    <comment ref="A17" authorId="0" shapeId="0" xr:uid="{00000000-0006-0000-0400-000003000000}">
      <text>
        <r>
          <rPr>
            <b/>
            <sz val="8"/>
            <color indexed="81"/>
            <rFont val="Tahoma"/>
            <family val="2"/>
          </rPr>
          <t>Do not check this if the development is financed with tax-exempt bonds or federally subsidized debt.</t>
        </r>
      </text>
    </comment>
    <comment ref="A19" authorId="0" shapeId="0" xr:uid="{00000000-0006-0000-0400-000004000000}">
      <text>
        <r>
          <rPr>
            <b/>
            <sz val="8"/>
            <color indexed="81"/>
            <rFont val="Tahoma"/>
            <family val="2"/>
          </rPr>
          <t>Enter the amount of tax-exempt financing or federally subsidized debt here.</t>
        </r>
      </text>
    </comment>
    <comment ref="A20" authorId="0" shapeId="0" xr:uid="{00000000-0006-0000-0400-000005000000}">
      <text>
        <r>
          <rPr>
            <b/>
            <sz val="8"/>
            <color indexed="81"/>
            <rFont val="Tahoma"/>
            <family val="2"/>
          </rPr>
          <t>If you received a grant for acquisition, enter that amount here.</t>
        </r>
      </text>
    </comment>
    <comment ref="A21" authorId="0" shapeId="0" xr:uid="{00000000-0006-0000-0400-000006000000}">
      <text>
        <r>
          <rPr>
            <b/>
            <sz val="8"/>
            <color indexed="81"/>
            <rFont val="Tahoma"/>
            <family val="2"/>
          </rPr>
          <t>If you received a grant for rehabilitation, enter that amount here.</t>
        </r>
      </text>
    </comment>
    <comment ref="K51" authorId="1" shapeId="0" xr:uid="{00000000-0006-0000-0400-000007000000}">
      <text>
        <r>
          <rPr>
            <sz val="8"/>
            <color indexed="81"/>
            <rFont val="Tahoma"/>
            <family val="2"/>
          </rPr>
          <t xml:space="preserve">
</t>
        </r>
      </text>
    </comment>
    <comment ref="L51" authorId="1" shapeId="0" xr:uid="{00000000-0006-0000-0400-000008000000}">
      <text>
        <r>
          <rPr>
            <sz val="8"/>
            <color indexed="81"/>
            <rFont val="Tahoma"/>
            <family val="2"/>
          </rPr>
          <t xml:space="preserve">
</t>
        </r>
      </text>
    </comment>
    <comment ref="A110" authorId="1" shapeId="0" xr:uid="{00000000-0006-0000-0400-000009000000}">
      <text>
        <r>
          <rPr>
            <b/>
            <sz val="8"/>
            <color indexed="81"/>
            <rFont val="Tahoma"/>
            <family val="2"/>
          </rPr>
          <t>Does not include capitalized reserves nor any developer fees or overhead which are contributed or loaned to the project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Niall O'Farrell</author>
  </authors>
  <commentList>
    <comment ref="A32" authorId="0" shapeId="0" xr:uid="{00000000-0006-0000-1000-000001000000}">
      <text>
        <r>
          <rPr>
            <sz val="8"/>
            <color indexed="81"/>
            <rFont val="Tahoma"/>
            <family val="2"/>
          </rPr>
          <t xml:space="preserve">
this cell is only used  to store
 the value of today's date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0" deleted="1" background="1" saveData="1">
    <webPr consecutive="1" xl97="1" htmlTables="1" htmlFormat="all"/>
  </connection>
  <connection id="2" xr16:uid="{00000000-0015-0000-FFFF-FFFF01000000}" name="Connection1" type="4" refreshedVersion="0" deleted="1" background="1" saveData="1">
    <webPr consecutive="1" xl97="1" htmlTables="1" htmlFormat="all"/>
  </connection>
  <connection id="3" xr16:uid="{00000000-0015-0000-FFFF-FFFF02000000}" name="Connection2" type="4" refreshedVersion="0" deleted="1" background="1" saveData="1">
    <webPr consecutive="1" xl97="1" htmlTables="1" htmlFormat="all"/>
  </connection>
  <connection id="4" xr16:uid="{00000000-0015-0000-FFFF-FFFF03000000}" name="Connection3" type="4" refreshedVersion="4" deleted="1" background="1" saveData="1">
    <webPr parsePre="1" consecutive="1" xl2000="1" htmlTables="1"/>
  </connection>
  <connection id="5" xr16:uid="{00000000-0015-0000-FFFF-FFFF04000000}" name="Connection4" type="4" refreshedVersion="4" deleted="1" background="1" saveData="1">
    <webPr parsePre="1" consecutive="1" xl2000="1" htmlTables="1"/>
  </connection>
  <connection id="6" xr16:uid="{00000000-0015-0000-FFFF-FFFF05000000}" name="Connection5" type="4" refreshedVersion="4" deleted="1" background="1" saveData="1">
    <webPr parsePre="1" consecutive="1" xl2000="1" htmlTables="1"/>
  </connection>
</connections>
</file>

<file path=xl/sharedStrings.xml><?xml version="1.0" encoding="utf-8"?>
<sst xmlns="http://schemas.openxmlformats.org/spreadsheetml/2006/main" count="4479" uniqueCount="1596">
  <si>
    <t>Exhibit 23.  Other Funding Commitments</t>
  </si>
  <si>
    <t>Exhibit 24.  Rental Subsidies</t>
  </si>
  <si>
    <t xml:space="preserve">Exhibit 25.  Developer Profile </t>
  </si>
  <si>
    <t>Exhibit 26.  Mortgagor's Other Real Estate</t>
  </si>
  <si>
    <t xml:space="preserve">Exhibit 27.  Architect's Resume </t>
  </si>
  <si>
    <t>Exhibit 28.  Management Agent Profile</t>
  </si>
  <si>
    <t xml:space="preserve">Exhibit 29.  General Contractor's Profile </t>
  </si>
  <si>
    <t xml:space="preserve">                       Credit Release</t>
  </si>
  <si>
    <t>Exhibit 31.  Mortgagor Personal Financial Statement</t>
  </si>
  <si>
    <t>Exhibit 32.  Individual Financial Profile</t>
  </si>
  <si>
    <t>Exhibit 33.  General Contractor's Financial Capacity</t>
  </si>
  <si>
    <t>MSA</t>
  </si>
  <si>
    <t>BARNSTABLE</t>
  </si>
  <si>
    <t xml:space="preserve">BERKSHIRE </t>
  </si>
  <si>
    <t xml:space="preserve">BRISTOL </t>
  </si>
  <si>
    <t xml:space="preserve">DUKES </t>
  </si>
  <si>
    <t xml:space="preserve">ESSEX </t>
  </si>
  <si>
    <t xml:space="preserve">FRANKLIN </t>
  </si>
  <si>
    <t xml:space="preserve">HAMPDEN </t>
  </si>
  <si>
    <t xml:space="preserve">HAMPSHIRE </t>
  </si>
  <si>
    <t xml:space="preserve">MIDDLESEX </t>
  </si>
  <si>
    <t xml:space="preserve">NANTUCKET </t>
  </si>
  <si>
    <t xml:space="preserve">     Current Reserve Balance</t>
  </si>
  <si>
    <t>Is this a qualified census tract?</t>
  </si>
  <si>
    <t xml:space="preserve">NORFOLK </t>
  </si>
  <si>
    <t>Year 5</t>
  </si>
  <si>
    <t>Year 6</t>
  </si>
  <si>
    <t>Year 7</t>
  </si>
  <si>
    <t>Year 8</t>
  </si>
  <si>
    <t>Year 9</t>
  </si>
  <si>
    <t>Year 10</t>
  </si>
  <si>
    <t>Year 11</t>
  </si>
  <si>
    <t>Year 12</t>
  </si>
  <si>
    <t>Year 13</t>
  </si>
  <si>
    <t>Year 14</t>
  </si>
  <si>
    <t>Year 15</t>
  </si>
  <si>
    <t>Year 16</t>
  </si>
  <si>
    <t>Year 17</t>
  </si>
  <si>
    <t>Year 18</t>
  </si>
  <si>
    <t>Year 19</t>
  </si>
  <si>
    <t>Year 20</t>
  </si>
  <si>
    <t>Year 21</t>
  </si>
  <si>
    <t xml:space="preserve">   Acquisition, substantial rehab of existing housing</t>
  </si>
  <si>
    <t xml:space="preserve">   Acquisition, moderate rehab of existing housing</t>
  </si>
  <si>
    <t xml:space="preserve">   Acquisition, minimal or no rehab of existing housing</t>
  </si>
  <si>
    <t xml:space="preserve">   Adaptive re-use of non-residential structure</t>
  </si>
  <si>
    <t>Information On Site And Existing Buildings</t>
  </si>
  <si>
    <t>Developer Fee/Profit</t>
  </si>
  <si>
    <t xml:space="preserve">Gross Syndication Investment </t>
  </si>
  <si>
    <t>Annual Operating Income (year 1)</t>
  </si>
  <si>
    <t>Page 16</t>
  </si>
  <si>
    <t>Operating Expenses</t>
  </si>
  <si>
    <t>Annual Operating Exp.:</t>
  </si>
  <si>
    <t>Management Fee</t>
  </si>
  <si>
    <t>Payroll, Administrative</t>
  </si>
  <si>
    <t>Payroll Taxes &amp; Benefits, Admin.</t>
  </si>
  <si>
    <t>Audit</t>
  </si>
  <si>
    <t>Marketing</t>
  </si>
  <si>
    <t>Telephone</t>
  </si>
  <si>
    <t>Office Supplies</t>
  </si>
  <si>
    <t>Accounting &amp; Data Processing</t>
  </si>
  <si>
    <t>Investor Servicing</t>
  </si>
  <si>
    <t>Subtotal: Administrative</t>
  </si>
  <si>
    <t>Payroll, Maintenance</t>
  </si>
  <si>
    <t>Janitorial Materials</t>
  </si>
  <si>
    <t>Landscaping</t>
  </si>
  <si>
    <t>Replacement Reserve Requirement</t>
  </si>
  <si>
    <t>Operating Reserve Requirement</t>
  </si>
  <si>
    <t>Decorating (inter. only)</t>
  </si>
  <si>
    <t>Repairs (inter. &amp; ext.)</t>
  </si>
  <si>
    <t>Elevator Maintenance</t>
  </si>
  <si>
    <t>Trash Removal</t>
  </si>
  <si>
    <t>Snow Removal</t>
  </si>
  <si>
    <t>Extermination</t>
  </si>
  <si>
    <t>Recreation</t>
  </si>
  <si>
    <t>Subtotal: Maintenance</t>
  </si>
  <si>
    <t>Resident Services</t>
  </si>
  <si>
    <t>Electricity</t>
  </si>
  <si>
    <t>Natural Gas</t>
  </si>
  <si>
    <t>Water &amp; Sewer</t>
  </si>
  <si>
    <t>Subtotal: Utilities</t>
  </si>
  <si>
    <t>Replacement Reserve</t>
  </si>
  <si>
    <t>Operating Reserve</t>
  </si>
  <si>
    <t>Other Taxes</t>
  </si>
  <si>
    <t>Other</t>
  </si>
  <si>
    <t>Subtotal:Taxes, Insurance</t>
  </si>
  <si>
    <t>TOTAL EXPENSES</t>
  </si>
  <si>
    <t>Page 17</t>
  </si>
  <si>
    <t>Other Operating Expense Assumptions</t>
  </si>
  <si>
    <t>Number of Units</t>
  </si>
  <si>
    <t>Community</t>
  </si>
  <si>
    <t xml:space="preserve">Developer </t>
  </si>
  <si>
    <t>Trending Assumptions for Expenses</t>
  </si>
  <si>
    <t>File Size</t>
  </si>
  <si>
    <t>Error message</t>
  </si>
  <si>
    <t>Version number</t>
  </si>
  <si>
    <t>Sewer &amp; Water .........................................................</t>
  </si>
  <si>
    <t>Real Estate Taxes ..................................................</t>
  </si>
  <si>
    <t>Reserve Requirements:</t>
  </si>
  <si>
    <t xml:space="preserve"> $</t>
  </si>
  <si>
    <t xml:space="preserve">   per unit per year</t>
  </si>
  <si>
    <t>Debt Service:</t>
  </si>
  <si>
    <t>Annual</t>
  </si>
  <si>
    <t>Payment</t>
  </si>
  <si>
    <t xml:space="preserve"> (in year one)</t>
  </si>
  <si>
    <t>Affordability:  Income Limits and Maximum Allowable Rents</t>
  </si>
  <si>
    <t>Maximum Allowed Rents, by Income, by Unit Size:</t>
  </si>
  <si>
    <t>Maximum Income</t>
  </si>
  <si>
    <t>0 bedroom</t>
  </si>
  <si>
    <t>1 bedroom</t>
  </si>
  <si>
    <t>H.U.D. "Fair Market Rents" (Maximum):</t>
  </si>
  <si>
    <t>Page 18</t>
  </si>
  <si>
    <t>Section  5</t>
  </si>
  <si>
    <t>LOW INCOME HOUSING TAX CREDITS</t>
  </si>
  <si>
    <t>Percent of Project Which Qualifies for Tax Credit</t>
  </si>
  <si>
    <t>Low-Income Units ................................</t>
  </si>
  <si>
    <t xml:space="preserve">Total Units: </t>
  </si>
  <si>
    <t>Percent of Units .............................</t>
  </si>
  <si>
    <t>Low-Income Square Feet .............</t>
  </si>
  <si>
    <t xml:space="preserve">Total Area: </t>
  </si>
  <si>
    <t>Percent of Area .................................</t>
  </si>
  <si>
    <t>Applicable Percentage ..........................</t>
  </si>
  <si>
    <t>Is the project utilizing tax-exempt financing?</t>
  </si>
  <si>
    <t xml:space="preserve">Does the project qualify for an acquisition credit? </t>
  </si>
  <si>
    <t>How much financing is nonqualified (federally subsidized?)</t>
  </si>
  <si>
    <t>What grant funds must be subtracted from acquisition basis?</t>
  </si>
  <si>
    <t>What grant funds must be subtracted from rehabilitation basis?</t>
  </si>
  <si>
    <t>Will the project have a minimum of 20% of units for households earning less than 50% of median,</t>
  </si>
  <si>
    <t xml:space="preserve">or 40% for less than 60% of median?       </t>
  </si>
  <si>
    <t>Historic Tax Credit:</t>
  </si>
  <si>
    <t>Does the project qualify for historic tax credits?</t>
  </si>
  <si>
    <t>Project Qualification for 130%:</t>
  </si>
  <si>
    <t>NA</t>
  </si>
  <si>
    <t>Page 10e</t>
  </si>
  <si>
    <t>Capitalized Operating Reserve Amount:</t>
  </si>
  <si>
    <t>b.</t>
  </si>
  <si>
    <t>c.</t>
  </si>
  <si>
    <t>d.</t>
  </si>
  <si>
    <t>e.</t>
  </si>
  <si>
    <t xml:space="preserve">f. </t>
  </si>
  <si>
    <t>Other Income: b.</t>
  </si>
  <si>
    <t>Other Income: c.</t>
  </si>
  <si>
    <t>Other Income: d.</t>
  </si>
  <si>
    <t>Other Income: e.</t>
  </si>
  <si>
    <t>Other Income: f.</t>
  </si>
  <si>
    <t>Will building(s) include elevators?</t>
  </si>
  <si>
    <t>Commercial (includes parking)</t>
  </si>
  <si>
    <t>Other Income: Laundry</t>
  </si>
  <si>
    <t xml:space="preserve">Commercial Income </t>
  </si>
  <si>
    <t xml:space="preserve">Estimated Net LIHTC Syndication Yield </t>
  </si>
  <si>
    <t>Construction Loan Closing</t>
  </si>
  <si>
    <t>Construction Start</t>
  </si>
  <si>
    <t xml:space="preserve">50% Construction Completion </t>
  </si>
  <si>
    <t>Construction Completion</t>
  </si>
  <si>
    <t xml:space="preserve">First Certificate of Occupancy </t>
  </si>
  <si>
    <t>Final Certificate of Occupancy</t>
  </si>
  <si>
    <t>Sustained Occupancy</t>
  </si>
  <si>
    <t xml:space="preserve">Permanent Loan Closing </t>
  </si>
  <si>
    <t>Est. Net Historic Tax Credit Syndication Yield</t>
  </si>
  <si>
    <t>rate per $</t>
  </si>
  <si>
    <t>Acquisition</t>
  </si>
  <si>
    <t>SUFFOLK</t>
  </si>
  <si>
    <t>PLYMOUTH</t>
  </si>
  <si>
    <t>Calculation of Maximum Tax Credit Amount</t>
  </si>
  <si>
    <t>Credit</t>
  </si>
  <si>
    <t>Total Eligible Development Costs</t>
  </si>
  <si>
    <t>Less:  Portion of Grants Allocated to Basis</t>
  </si>
  <si>
    <t>Less:  20% Historic Rehab Credit Basis Reduction</t>
  </si>
  <si>
    <t>Less:  Nonqualified source of financing</t>
  </si>
  <si>
    <t>Subtotal:  Eligible Basis</t>
  </si>
  <si>
    <t>"Hard to develop" area</t>
  </si>
  <si>
    <t>Percent Low-Income</t>
  </si>
  <si>
    <t>Applicable Rate</t>
  </si>
  <si>
    <t>9.</t>
  </si>
  <si>
    <t>List of exhibits</t>
  </si>
  <si>
    <t>You will notice that some cells are colored green and others are colored yellow.</t>
  </si>
  <si>
    <t xml:space="preserve"> The green-colored cells contain information that cannot be changed. </t>
  </si>
  <si>
    <t>Some cells are originally white in color but turn to yellow if based on some condition, they need user input.</t>
  </si>
  <si>
    <t>These include formulae, automatically updated information, links to other cells etc.</t>
  </si>
  <si>
    <t xml:space="preserve"> The yellow-colored cells can accept user input. </t>
  </si>
  <si>
    <t>Barnstable Town, MA</t>
  </si>
  <si>
    <t>Worcester, MA</t>
  </si>
  <si>
    <t>Lowell, MA</t>
  </si>
  <si>
    <t>This sheet provides a quick at-a-glance list of all the exhibits and their required/ not required status</t>
  </si>
  <si>
    <t>for the specific agencies to which you are applying for.</t>
  </si>
  <si>
    <t>in order to determine which sections of the Word file have to be filled out.</t>
  </si>
  <si>
    <t>Maximum Annual Tax Credit Amount</t>
  </si>
  <si>
    <t>Total Annual Tax Credit Amount</t>
  </si>
  <si>
    <t>Total Estimated Net Tax Credit Syndication Yield (based on above)</t>
  </si>
  <si>
    <t>Applicant's Estimate of Net Tax Credit Equity.</t>
  </si>
  <si>
    <t>Section 5.  Low Income Housing Tax Credits</t>
  </si>
  <si>
    <t>Page 19</t>
  </si>
  <si>
    <t>Percentage of</t>
  </si>
  <si>
    <t xml:space="preserve"> Costs Not </t>
  </si>
  <si>
    <t>in Depreciable</t>
  </si>
  <si>
    <t>Not In</t>
  </si>
  <si>
    <t>Basis</t>
  </si>
  <si>
    <t>Credit Basis</t>
  </si>
  <si>
    <t>Legal*</t>
  </si>
  <si>
    <t>Marketing and Rent Up*</t>
  </si>
  <si>
    <t>Real Estate Taxes*</t>
  </si>
  <si>
    <t>Construction Loan Interest*</t>
  </si>
  <si>
    <t>Financing Fees*</t>
  </si>
  <si>
    <t>Letter of Credit Fees*</t>
  </si>
  <si>
    <t>Other Financing Fees*</t>
  </si>
  <si>
    <t>Other* .............................</t>
  </si>
  <si>
    <t>Soft Cost Contingency*</t>
  </si>
  <si>
    <t>Total Eligible Tax Credit Basis</t>
  </si>
  <si>
    <t>Page 20</t>
  </si>
  <si>
    <t>Section  6</t>
  </si>
  <si>
    <t>CHECKLIST FOR EXHIBITS</t>
  </si>
  <si>
    <t>Exhibit 1.  Site Information:</t>
  </si>
  <si>
    <t>Exhibit 2.  Environmental Information:</t>
  </si>
  <si>
    <t>BARNSTABLE COUNTY</t>
  </si>
  <si>
    <t>BRISTOL COUNTY</t>
  </si>
  <si>
    <t>WORCESTER COUNTY</t>
  </si>
  <si>
    <t>ESSEX COUNTY</t>
  </si>
  <si>
    <t>MIDDLESEX COUNTY</t>
  </si>
  <si>
    <t>BERKSHIRE COUNTY</t>
  </si>
  <si>
    <t>HAMPSHIRE COUNTY</t>
  </si>
  <si>
    <t>DUKES COUNTY</t>
  </si>
  <si>
    <t>FRANKLIN COUNTY</t>
  </si>
  <si>
    <t>HAMPDEN COUNTY</t>
  </si>
  <si>
    <t>NANTUCKET COUNTY</t>
  </si>
  <si>
    <t>Optional user calculations</t>
  </si>
  <si>
    <t>Determination by Local Conservation Commission</t>
  </si>
  <si>
    <t>Accounting &amp; Cost Cert.</t>
  </si>
  <si>
    <t>MHFA</t>
  </si>
  <si>
    <t>MHFA Program 2</t>
  </si>
  <si>
    <t>MHFA Program 1</t>
  </si>
  <si>
    <t>MIP</t>
  </si>
  <si>
    <t>Month 22</t>
  </si>
  <si>
    <t>TDC, Net</t>
  </si>
  <si>
    <t>Override</t>
  </si>
  <si>
    <t>Signature</t>
  </si>
  <si>
    <t>Basis for estimates?</t>
  </si>
  <si>
    <t>The Contractor certifies that, to the best of their knowledge, the construction</t>
  </si>
  <si>
    <t>1.</t>
  </si>
  <si>
    <t xml:space="preserve">     Subtotal: Capitalized Reserves</t>
  </si>
  <si>
    <t>for transmission to the various agencies such as MHIC, DHCD, MHFA and City of Boston DND.</t>
  </si>
  <si>
    <t>Your OneStop2000 program has been supplied with a zip program, called EasyZip2000</t>
  </si>
  <si>
    <t>If you already have a zip program such as WinZip installed on your computer, you do not need to install EasyZip2000.</t>
  </si>
  <si>
    <t>(a)</t>
  </si>
  <si>
    <t>(b)</t>
  </si>
  <si>
    <t>(d)</t>
  </si>
  <si>
    <t>USING EASYZIP 2000</t>
  </si>
  <si>
    <t>After you have completed your OneStop2000 application, and wish to transmit the file to an agency, you will first need to Zip it. This is very easy to do:</t>
  </si>
  <si>
    <t>Make sure that you have saved your Excel file, and that you know where to find it on your hard drive.</t>
  </si>
  <si>
    <t>Close the file.</t>
  </si>
  <si>
    <t>Open Windows Explorer and locate the file that you will be sending to the agency.</t>
  </si>
  <si>
    <t xml:space="preserve"> (from line 159)</t>
  </si>
  <si>
    <t>Use the right mouse button to click once on the file name. You will see a drop down menu.</t>
  </si>
  <si>
    <t>(e)</t>
  </si>
  <si>
    <t>Assuming the file is called “Project.xls”, you should choose the menu item that says ---</t>
  </si>
  <si>
    <t>Compress to “Project.zip”.</t>
  </si>
  <si>
    <t>This will leave your original file intact, but will make a compressed copy of it in the same directory. You will notice three things about this file that are different:</t>
  </si>
  <si>
    <t>It has the same name, but ends in .ZIP instead of .XLS</t>
  </si>
  <si>
    <t>The icon will have changed from an Excel icon to a Zip icon</t>
  </si>
  <si>
    <t>When sending your application to an agency, be sure to choose this file with the .ZIP extension.</t>
  </si>
  <si>
    <t>If you choose the original Excel file, you will find that it does not all fit on one disk.</t>
  </si>
  <si>
    <t>2.</t>
  </si>
  <si>
    <t>I am sometimes displayed a box, that complains about an error, with "End" and "Help" buttons.</t>
  </si>
  <si>
    <t xml:space="preserve">This box indicates that something that you did generated an error in the underlying Visual Basic code. </t>
  </si>
  <si>
    <t>Simply press the "End" button and you will find yourself back in the regular Excel mode.</t>
  </si>
  <si>
    <t>3.</t>
  </si>
  <si>
    <t xml:space="preserve">The current version number can be found on the page "Other Information". </t>
  </si>
  <si>
    <t>4.</t>
  </si>
  <si>
    <t>Not Applicable</t>
  </si>
  <si>
    <t>Other Income:a.</t>
  </si>
  <si>
    <t>5.</t>
  </si>
  <si>
    <t>Technical Support</t>
  </si>
  <si>
    <t>Please contact MHIC at (617) 850-1000.</t>
  </si>
  <si>
    <t>Cell comments</t>
  </si>
  <si>
    <t>Printing options</t>
  </si>
  <si>
    <t>Enter a census tract</t>
  </si>
  <si>
    <t>Updating web information</t>
  </si>
  <si>
    <t>Revision date for the OneStop application</t>
  </si>
  <si>
    <t>Optional User Comments</t>
  </si>
  <si>
    <t>6.</t>
  </si>
  <si>
    <t>Lists' page</t>
  </si>
  <si>
    <t>these cell comments can be found near the relevant item itself.</t>
  </si>
  <si>
    <t>[Back to top]</t>
  </si>
  <si>
    <t>[Back to introduction]</t>
  </si>
  <si>
    <t>In the upper left-handside corner of your screen, you will find a button marked "Print Sheets".</t>
  </si>
  <si>
    <t>When you click this button, you will be presented with a menu that displays all the sheets in the file.</t>
  </si>
  <si>
    <t>You can select specific sheets that you need to print and then click on the "Print Selected Sheets" button.</t>
  </si>
  <si>
    <t>If you need to print all the sheets in the file, you can click on the "Print All Sheets" button.</t>
  </si>
  <si>
    <t>You can also print one or more of the Amortization tables by clicking on the "Print Amortization Tables" button.</t>
  </si>
  <si>
    <t>clicking either of the radio buttons.</t>
  </si>
  <si>
    <t xml:space="preserve">In this version of the OneStop application, the median income limits, qualified census tracts and </t>
  </si>
  <si>
    <t>the OneStop file on the pages marked "Income Limits", "Fair Market Rents" and "QCTs".</t>
  </si>
  <si>
    <t>The button on the top left-handside of your screen marked "Update Web Information" can be used</t>
  </si>
  <si>
    <t>to download the latest income limits, QCT and FMR data. The date that this information was last downloaded</t>
  </si>
  <si>
    <t>If it has been more than 60 days since this information was last downloaded, you will be prompted with</t>
  </si>
  <si>
    <t>a question, upon opening the file, asking you whether you would like to update any of the information.</t>
  </si>
  <si>
    <t>In order to use the "Update Web Information" button, you should be connected to the Internet.</t>
  </si>
  <si>
    <t>you if changes made to the file should be considered as revisions to the application.</t>
  </si>
  <si>
    <t>If you answer "Yes" to this question, the current date will be marked as "Revised date" under Item 12,</t>
  </si>
  <si>
    <t xml:space="preserve">on Page '1. Description'. If you answer "No", no action will be taken. </t>
  </si>
  <si>
    <t xml:space="preserve">You will not be asked this question the first time you fill out the OneStop application. </t>
  </si>
  <si>
    <t>However, every subsequent time that you change the file, you will be asked whether</t>
  </si>
  <si>
    <t>these changes should be treated as revisions to the file.</t>
  </si>
  <si>
    <t>On this page are listed the values that populate the dropdown listboxes, found throughout the OneStop file.</t>
  </si>
  <si>
    <t>However, if you choose to, you may add any more entries to the appropriate lists, in the yellow cells.</t>
  </si>
  <si>
    <t>These cell comments are mostly found in column A alongside the numbers. However, where appropriate,</t>
  </si>
  <si>
    <t>Cell comments have been provided throughout the file for help on a particular topic.</t>
  </si>
  <si>
    <t>You can also elect to print the sheets in either Black and White (no shading) or in Color (shading), by</t>
  </si>
  <si>
    <t xml:space="preserve">and the fair market rents are all downloaded from the web and compiled within </t>
  </si>
  <si>
    <t>This information is subject to change and  the latest numbers are available to the OneStop file.</t>
  </si>
  <si>
    <t>from the web is posted in the green cells, on the Pages  '1. Description' and  '4. Operating'.</t>
  </si>
  <si>
    <t>Everytime you complete your work on the OneStop file, you will be prompted with a question that asks</t>
  </si>
  <si>
    <t>Has this entity already been formed?</t>
  </si>
  <si>
    <t>% Change</t>
  </si>
  <si>
    <t>A printout of this list can be used in conjunction with the "Exhibits.doc" Word file</t>
  </si>
  <si>
    <t xml:space="preserve">   (This is the lower of lines 333 and 335 above.)</t>
  </si>
  <si>
    <t xml:space="preserve"> (See line 360, Section 5, page 18.)</t>
  </si>
  <si>
    <t xml:space="preserve">In this version of the OneStop file, the user can enter his/her comments in extra space provided for </t>
  </si>
  <si>
    <t>this purpose.</t>
  </si>
  <si>
    <t>There is extra space provided on some pages where the user can perform any required calculations.</t>
  </si>
  <si>
    <t>If your calculations require more space, there is a sheet called "ScratchPad", provided for the same purpose .</t>
  </si>
  <si>
    <t>The applicant certifies that this application is complete and accurate, to the</t>
  </si>
  <si>
    <t>best of his/her knowledge, and that there are no material misrepresentations.</t>
  </si>
  <si>
    <t>estimates, and trade-item breakdown on this page are complete and accurate.</t>
  </si>
  <si>
    <t xml:space="preserve">Total Cost/square foot: </t>
  </si>
  <si>
    <t xml:space="preserve">Residential Cost/s.f.: </t>
  </si>
  <si>
    <t>No</t>
  </si>
  <si>
    <t>Other: Please type details in this box</t>
  </si>
  <si>
    <t>Neighborhood</t>
  </si>
  <si>
    <t>City/ Town</t>
  </si>
  <si>
    <t>County</t>
  </si>
  <si>
    <t>Scattered Sites?</t>
  </si>
  <si>
    <t>Will rehabilitation require the relocation of existing tenants?</t>
  </si>
  <si>
    <t>Scope of rehabilitation: Please describe the following (or type N/A).</t>
  </si>
  <si>
    <t>What form of site control do you have?</t>
  </si>
  <si>
    <t>Other: please type details in this box</t>
  </si>
  <si>
    <t>In the past three years, have there been any defaults on any mortgage on the</t>
  </si>
  <si>
    <t>property or any other forms of financial distress?</t>
  </si>
  <si>
    <t>g.   Is there any identity of interest between buyer and seller?</t>
  </si>
  <si>
    <t>Vacancy</t>
  </si>
  <si>
    <t>Section 6.  Checklist for Exhibits</t>
  </si>
  <si>
    <t>Page 21</t>
  </si>
  <si>
    <t xml:space="preserve">Exhibit 30.  Developer Financial Statement and </t>
  </si>
  <si>
    <t xml:space="preserve">Fire Code Type </t>
  </si>
  <si>
    <t>Rental (except SRO or Assisted Living, see below)</t>
  </si>
  <si>
    <t>Limited Equity Cooperative</t>
  </si>
  <si>
    <t>Home Ownership</t>
  </si>
  <si>
    <t>Single Room Occupancy (SRO)</t>
  </si>
  <si>
    <t>Assisted Living*</t>
  </si>
  <si>
    <t>Limited dividend partnership</t>
  </si>
  <si>
    <t>Other for-profit corporations/partnerships/individuals</t>
  </si>
  <si>
    <t>Non-profit corporation (Chapter 180)</t>
  </si>
  <si>
    <t>Limited equity housing cooperative (Chapter 157B)</t>
  </si>
  <si>
    <t>Concrete frame</t>
  </si>
  <si>
    <t>Wood frame</t>
  </si>
  <si>
    <t xml:space="preserve">Protected steel </t>
  </si>
  <si>
    <t xml:space="preserve">Masonry bearing wall </t>
  </si>
  <si>
    <t>Include copies of the appropriate site control documents as part of Exhibit 4.</t>
  </si>
  <si>
    <t>Amortization Table #1</t>
  </si>
  <si>
    <t>Amortization Table #2</t>
  </si>
  <si>
    <t>Amortization Table #3</t>
  </si>
  <si>
    <t>Amortization Table #4</t>
  </si>
  <si>
    <t>Amortization Table #5</t>
  </si>
  <si>
    <t>Are the following utilities available on the site:</t>
  </si>
  <si>
    <t>Additional Exhibits:</t>
  </si>
  <si>
    <t xml:space="preserve">Exhibit No. </t>
  </si>
  <si>
    <t xml:space="preserve">Title: </t>
  </si>
  <si>
    <t>Page 22</t>
  </si>
  <si>
    <t>Section  7</t>
  </si>
  <si>
    <t>SIGNATURE PAGE</t>
  </si>
  <si>
    <t>Project Name</t>
  </si>
  <si>
    <t>Date:</t>
  </si>
  <si>
    <t>(month)</t>
  </si>
  <si>
    <t>(day)</t>
  </si>
  <si>
    <t>(year)</t>
  </si>
  <si>
    <t>Mortgagor:</t>
  </si>
  <si>
    <t>Page A-1</t>
  </si>
  <si>
    <t>Project Summary Information</t>
  </si>
  <si>
    <t>NOTE: Do not fill out this section.  It is automatically filled in by program.</t>
  </si>
  <si>
    <t>If you do not have WinZip or an equivalent program, please follow the instructions given in the Word document</t>
  </si>
  <si>
    <t>"EasyZipInstructions.doc" on the OneStop2000 CD-ROM.</t>
  </si>
  <si>
    <t>The file size will be much smaller, as compared to the original .xls file.</t>
  </si>
  <si>
    <t>If any of the above are not available, is plan attached explaining how such service will be extended</t>
  </si>
  <si>
    <t>This is an application for:</t>
  </si>
  <si>
    <t>Very</t>
  </si>
  <si>
    <t>LIHTC</t>
  </si>
  <si>
    <t>Low</t>
  </si>
  <si>
    <t>income</t>
  </si>
  <si>
    <t>Moderate</t>
  </si>
  <si>
    <t>cap at</t>
  </si>
  <si>
    <t>NORFOLK COUNTY</t>
  </si>
  <si>
    <t>PLYMOUTH COUNTY</t>
  </si>
  <si>
    <t>SUFFOLK COUNTY</t>
  </si>
  <si>
    <t>Brockton, MA</t>
  </si>
  <si>
    <t>Fitchburg-Leominster, MA</t>
  </si>
  <si>
    <t>Lawrence, MA-NH</t>
  </si>
  <si>
    <t>New Bedford, MA</t>
  </si>
  <si>
    <t>Pittsfield, MA</t>
  </si>
  <si>
    <t>Springfield, MA</t>
  </si>
  <si>
    <t>Laundry Income</t>
  </si>
  <si>
    <t>Worcester, MA-CT</t>
  </si>
  <si>
    <t>(NONMETROPOLITAN AREA)</t>
  </si>
  <si>
    <t>MHP Fund Financing ...................................................................</t>
  </si>
  <si>
    <t>a.</t>
  </si>
  <si>
    <t>f.</t>
  </si>
  <si>
    <t xml:space="preserve">     Category ..............……………...........................................</t>
  </si>
  <si>
    <t xml:space="preserve">     Category ...........................................…………..............</t>
  </si>
  <si>
    <t>MHIC Tax Credit Equity ...............................................................</t>
  </si>
  <si>
    <t>Sources of Funds:</t>
  </si>
  <si>
    <t xml:space="preserve">               Uses of Funds:</t>
  </si>
  <si>
    <t xml:space="preserve"> © Massachusetts Housing Investment Corporation, 1993, 1994, 1995, 1999 in its own name and on behalf of MHFA, DHCD, and</t>
  </si>
  <si>
    <t xml:space="preserve">      the MHP Fund.   All rights reserved.</t>
  </si>
  <si>
    <t>Developer's Equity ...................................................</t>
  </si>
  <si>
    <t>Acquisition ...............................................................</t>
  </si>
  <si>
    <t>Tax Credit Equity .......................................................</t>
  </si>
  <si>
    <t>Construction ....................................................</t>
  </si>
  <si>
    <t>Does the rehabilitation qualify for a 9% rather than 4% credit?</t>
  </si>
  <si>
    <t xml:space="preserve">Is the project located in a "qualified census tract" or in a "difficult to </t>
  </si>
  <si>
    <t>develop" area?</t>
  </si>
  <si>
    <t>Public Equity ...............................................................</t>
  </si>
  <si>
    <t>General Development ................................................</t>
  </si>
  <si>
    <t>Subordinate Debt ..........................................................</t>
  </si>
  <si>
    <t>Developer Overhead ............................................</t>
  </si>
  <si>
    <t>Permanent Debt .........................................................</t>
  </si>
  <si>
    <t>Developer Fee .......................................................</t>
  </si>
  <si>
    <t>Total All Sources ....................................</t>
  </si>
  <si>
    <t>Capitalized Reserves.................................</t>
  </si>
  <si>
    <t>Total All Uses ...........................</t>
  </si>
  <si>
    <t>Uses Exceed Sources by ...........................................</t>
  </si>
  <si>
    <t>Rent Levels:</t>
  </si>
  <si>
    <t>TDC per unit</t>
  </si>
  <si>
    <t>BR (aver.)</t>
  </si>
  <si>
    <t>SF (aver.)</t>
  </si>
  <si>
    <t>Low-Income, Rental Assisted .......................</t>
  </si>
  <si>
    <t>Low-Income, Below 50% ...............................</t>
  </si>
  <si>
    <t>Low-Income, Below 60% .................................</t>
  </si>
  <si>
    <t>QCTLIST</t>
  </si>
  <si>
    <t>Market Rate ..........................................................</t>
  </si>
  <si>
    <t>Average, All Units ..............................................</t>
  </si>
  <si>
    <t>Annual Operating Income (year 1):</t>
  </si>
  <si>
    <t xml:space="preserve">       Annual Operating Expense (year 1):</t>
  </si>
  <si>
    <t>Gross rental income (residential)</t>
  </si>
  <si>
    <t>Vacancy (resid.)</t>
  </si>
  <si>
    <t>Administrative</t>
  </si>
  <si>
    <t>Other Income (net of vacancies)</t>
  </si>
  <si>
    <t>Maintenance</t>
  </si>
  <si>
    <t>Res. Service, Security</t>
  </si>
  <si>
    <t>Operating Subsidies</t>
  </si>
  <si>
    <t>Utilities</t>
  </si>
  <si>
    <t>Draw on Operating Reserves</t>
  </si>
  <si>
    <t>Repl. Reserve</t>
  </si>
  <si>
    <t>Total Annual Income</t>
  </si>
  <si>
    <t>Taxes, Insurance</t>
  </si>
  <si>
    <t>Net Operating Income</t>
  </si>
  <si>
    <t>Debt Service</t>
  </si>
  <si>
    <t>Debt Service Coverage</t>
  </si>
  <si>
    <t>Total per Unit</t>
  </si>
  <si>
    <t>Page A-2</t>
  </si>
  <si>
    <t>Rent Profile Analysis</t>
  </si>
  <si>
    <t>amortization</t>
  </si>
  <si>
    <t>NOTE:  Do not fill out this section.  It is automatically filled in by program.</t>
  </si>
  <si>
    <t>Size of</t>
  </si>
  <si>
    <t>Gross Rent/</t>
  </si>
  <si>
    <t>Rent per</t>
  </si>
  <si>
    <t>Unit</t>
  </si>
  <si>
    <t>Bathrooms</t>
  </si>
  <si>
    <t>Maximum</t>
  </si>
  <si>
    <t>square foot</t>
  </si>
  <si>
    <t>Does the present zoning allow the proposed development?</t>
  </si>
  <si>
    <t>Please include information on the property zoning in Exhibit 3. This should include a zoning map, highlighting any special use or dimensional restrictions on the property. If the present zoning does not allow for the proposed use, please explain current status and how approvals will be obtained.</t>
  </si>
  <si>
    <t>Have you applied for a zoning variance, change,special permit or subdivision?</t>
  </si>
  <si>
    <t>Do you anticipate applying for a comprehensive permit under Chapter 774?</t>
  </si>
  <si>
    <t>Other (please specify details here)</t>
  </si>
  <si>
    <t>Initial Loan Closing (MHFA only)</t>
  </si>
  <si>
    <t xml:space="preserve"> (from line 82)</t>
  </si>
  <si>
    <t>Page A-3</t>
  </si>
  <si>
    <t>21-Year Operating Proforma (Years 1-5)</t>
  </si>
  <si>
    <t>Calendar Year:</t>
  </si>
  <si>
    <t>INCOME:</t>
  </si>
  <si>
    <t>Low-Income, Rental Assisted</t>
  </si>
  <si>
    <t>Low-Income, Below 50%</t>
  </si>
  <si>
    <t>Low-Income, Below 60%</t>
  </si>
  <si>
    <t>Gross Potential Income</t>
  </si>
  <si>
    <t xml:space="preserve">   Less vacancy</t>
  </si>
  <si>
    <t>Effective Gross Residential Income</t>
  </si>
  <si>
    <t>Net Commercial Income</t>
  </si>
  <si>
    <t>Effective Rental Income</t>
  </si>
  <si>
    <t>Total Gross Income</t>
  </si>
  <si>
    <t>Total Effective Income</t>
  </si>
  <si>
    <t>EXPENSES:</t>
  </si>
  <si>
    <t>Oil (heat)</t>
  </si>
  <si>
    <t>Total Operating Expenses</t>
  </si>
  <si>
    <t>NET OPERATING INCOME</t>
  </si>
  <si>
    <t>Project Cash Flow</t>
  </si>
  <si>
    <t>Required Debt Coverage</t>
  </si>
  <si>
    <t>(Gap)/Surplus for Cov.</t>
  </si>
  <si>
    <t>Page A-4</t>
  </si>
  <si>
    <t>21-Year Operating Proforma (Years 6-10)</t>
  </si>
  <si>
    <t>Page A-5</t>
  </si>
  <si>
    <t>21-Year Operating Proforma (Years 11-15)</t>
  </si>
  <si>
    <t>Page A-6</t>
  </si>
  <si>
    <t>21-Year Operating Proforma (Years 16-21)</t>
  </si>
  <si>
    <t>Low-Income, Rent. Astd.</t>
  </si>
  <si>
    <t>Eff. Gross Res. Income</t>
  </si>
  <si>
    <t>Commercial Income</t>
  </si>
  <si>
    <t>Draw on Operating Res.</t>
  </si>
  <si>
    <t>NET OPER. INC.</t>
  </si>
  <si>
    <t>Page A-7</t>
  </si>
  <si>
    <t xml:space="preserve">       e.  Central A/C, if any? .....................................</t>
  </si>
  <si>
    <t>Operating Expense Analysis</t>
  </si>
  <si>
    <t>Per Unit</t>
  </si>
  <si>
    <t>Per S. F.</t>
  </si>
  <si>
    <t>Page A-8</t>
  </si>
  <si>
    <t>Development Cost Analysis</t>
  </si>
  <si>
    <t>(*Does not include any capitalized reserves nor any developer's fees or overhead which</t>
  </si>
  <si>
    <t xml:space="preserve">  are contributed or loaned to the project.)</t>
  </si>
  <si>
    <t>Page A-9</t>
  </si>
  <si>
    <t>Application Completeness and Accuracy Check</t>
  </si>
  <si>
    <t>The following questions were left unanswered, or appear to be possibly incorrect, as noted below:</t>
  </si>
  <si>
    <t>NOTE:  If answers are complete and appear reasonable, the page below is blank.</t>
  </si>
  <si>
    <t>Page A-10</t>
  </si>
  <si>
    <t xml:space="preserve">Commercial </t>
  </si>
  <si>
    <t>Service</t>
  </si>
  <si>
    <t>Override Fee</t>
  </si>
  <si>
    <t>Application Completeness and Accuracy Check (continued)</t>
  </si>
  <si>
    <t>Page A-11</t>
  </si>
  <si>
    <t>Unit Size in square feet:</t>
  </si>
  <si>
    <t>Number of bathrooms in each unit:</t>
  </si>
  <si>
    <t xml:space="preserve">       a.  Shopping facilities .................................................</t>
  </si>
  <si>
    <t>Please provide details about your site control agreement.</t>
  </si>
  <si>
    <t>Gross Rent</t>
  </si>
  <si>
    <t>All Other Operating Expenses  ..........................................................</t>
  </si>
  <si>
    <t>Maximum Rent (calculated from HUD income data)</t>
  </si>
  <si>
    <t>Total Net Development Cost</t>
  </si>
  <si>
    <t>N/A</t>
  </si>
  <si>
    <t>Exhibit 11</t>
  </si>
  <si>
    <t>Construction Period Sources and Uses</t>
  </si>
  <si>
    <t>Please fill out the following table with information on each month for which the project will be under construction.  "Sources" and</t>
  </si>
  <si>
    <t>"Uses" should equal each other every month.   Indicate loan repayment during the construction period.</t>
  </si>
  <si>
    <t>Sources of Cash:</t>
  </si>
  <si>
    <t>Closing</t>
  </si>
  <si>
    <t>Month 1</t>
  </si>
  <si>
    <t>Month 2</t>
  </si>
  <si>
    <t>Month 3</t>
  </si>
  <si>
    <t>Month 4</t>
  </si>
  <si>
    <t>DHCD Tax Credit Allocation .......................................................…..</t>
  </si>
  <si>
    <t>Construction Loan</t>
  </si>
  <si>
    <t xml:space="preserve">  $</t>
  </si>
  <si>
    <t>Proceeds from Sale (Net)*</t>
  </si>
  <si>
    <t>Equity:  Cash</t>
  </si>
  <si>
    <t>Equity:  Tax Credit (Net)</t>
  </si>
  <si>
    <t>Subordinate Debt</t>
  </si>
  <si>
    <t>Permanent Debt</t>
  </si>
  <si>
    <t>Difficult to develop area</t>
  </si>
  <si>
    <t>Initial Rent-Up</t>
  </si>
  <si>
    <t>Net Worth</t>
  </si>
  <si>
    <t>Syndication Bridge Loan</t>
  </si>
  <si>
    <t>Other Interim Loan</t>
  </si>
  <si>
    <t xml:space="preserve">     SUBTOTAL</t>
  </si>
  <si>
    <t>Repayment:  Construction Loan</t>
  </si>
  <si>
    <t>Optional user comments</t>
  </si>
  <si>
    <t>Repayment:  Syndication Loan</t>
  </si>
  <si>
    <t>Repayment:  Interim Loan</t>
  </si>
  <si>
    <t xml:space="preserve">     TOTAL SOURCES, NET</t>
  </si>
  <si>
    <t xml:space="preserve">     Cumulative Sources</t>
  </si>
  <si>
    <t xml:space="preserve">     * Only relevant in the case of for-sale projects.</t>
  </si>
  <si>
    <t>Uses of Cash (Expenses):</t>
  </si>
  <si>
    <t>Hard Costs:</t>
  </si>
  <si>
    <t xml:space="preserve">  Direct Construction</t>
  </si>
  <si>
    <t xml:space="preserve">  Contingency</t>
  </si>
  <si>
    <t xml:space="preserve">  Total Hard Costs</t>
  </si>
  <si>
    <t>Soft Costs:</t>
  </si>
  <si>
    <t xml:space="preserve">  Construction Loan Interest</t>
  </si>
  <si>
    <t xml:space="preserve">  Architecture &amp; Engineering</t>
  </si>
  <si>
    <t xml:space="preserve">  Survey and Permits</t>
  </si>
  <si>
    <t xml:space="preserve">  Clerk of the Works</t>
  </si>
  <si>
    <t xml:space="preserve">  Environmental Engineer</t>
  </si>
  <si>
    <t xml:space="preserve">  Bond Premium</t>
  </si>
  <si>
    <t xml:space="preserve">  Legal</t>
  </si>
  <si>
    <t>Letter of Credit</t>
  </si>
  <si>
    <t>1a</t>
  </si>
  <si>
    <t>1b</t>
  </si>
  <si>
    <t>Application Completed By:</t>
  </si>
  <si>
    <t>Original Application Date:</t>
  </si>
  <si>
    <t>Application Revision Date:</t>
  </si>
  <si>
    <t xml:space="preserve">  Title and Recording</t>
  </si>
  <si>
    <t xml:space="preserve">  Accounting &amp; Cost Certificat.</t>
  </si>
  <si>
    <t xml:space="preserve">  Marketing and Rent Up</t>
  </si>
  <si>
    <t xml:space="preserve">  Real Estate Taxes</t>
  </si>
  <si>
    <t xml:space="preserve">  Insurance</t>
  </si>
  <si>
    <t xml:space="preserve">  Relocation</t>
  </si>
  <si>
    <t xml:space="preserve">  Appraisal</t>
  </si>
  <si>
    <t xml:space="preserve">  Security</t>
  </si>
  <si>
    <t xml:space="preserve">  Inspecting Engineer</t>
  </si>
  <si>
    <t xml:space="preserve">  Financing Fees</t>
  </si>
  <si>
    <t xml:space="preserve">  Development Consultant</t>
  </si>
  <si>
    <t xml:space="preserve">  Developer's Overhead</t>
  </si>
  <si>
    <t xml:space="preserve">  Developer's Fee (Net)</t>
  </si>
  <si>
    <t xml:space="preserve">  Soft Cost Contingency</t>
  </si>
  <si>
    <t xml:space="preserve">  Contribution to Reserves</t>
  </si>
  <si>
    <t xml:space="preserve">     Subtotal Soft Costs, Fees</t>
  </si>
  <si>
    <t xml:space="preserve">     TOTAL USES </t>
  </si>
  <si>
    <t xml:space="preserve">     Cumulative Uses</t>
  </si>
  <si>
    <t>Budget:  Percentage of Funds Expended</t>
  </si>
  <si>
    <t xml:space="preserve"> Construction Loan Balance</t>
  </si>
  <si>
    <t xml:space="preserve"> Syndication Loan Balance</t>
  </si>
  <si>
    <t xml:space="preserve"> Interim Loan Balance</t>
  </si>
  <si>
    <t>Month 5</t>
  </si>
  <si>
    <t>Month 6</t>
  </si>
  <si>
    <t>Month 7</t>
  </si>
  <si>
    <t>Month 8</t>
  </si>
  <si>
    <t>Month 9</t>
  </si>
  <si>
    <t>Month 10</t>
  </si>
  <si>
    <t xml:space="preserve">Equity:  Tax Credit </t>
  </si>
  <si>
    <t xml:space="preserve">     Sub-Total Soft Costs</t>
  </si>
  <si>
    <t xml:space="preserve">     TOTAL </t>
  </si>
  <si>
    <t>Percentage of Funds Expended</t>
  </si>
  <si>
    <t>Month 11</t>
  </si>
  <si>
    <t>Month 12</t>
  </si>
  <si>
    <t>Month 13</t>
  </si>
  <si>
    <t>Month 14</t>
  </si>
  <si>
    <t>Month 15</t>
  </si>
  <si>
    <t>Month 16</t>
  </si>
  <si>
    <t>Net</t>
  </si>
  <si>
    <t>Month 17</t>
  </si>
  <si>
    <t>Month 18</t>
  </si>
  <si>
    <t>Month 19</t>
  </si>
  <si>
    <t>Month 20</t>
  </si>
  <si>
    <t>Month 21</t>
  </si>
  <si>
    <t>Balance</t>
  </si>
  <si>
    <t>Required exhibit.</t>
  </si>
  <si>
    <t>Uses of Cash (Expenses)</t>
  </si>
  <si>
    <t>Page 1</t>
  </si>
  <si>
    <t>Section  1</t>
  </si>
  <si>
    <t>PROJECT DESCRIPTION</t>
  </si>
  <si>
    <t>Name and Address of Project</t>
  </si>
  <si>
    <t>Project Name:</t>
  </si>
  <si>
    <t>.</t>
  </si>
  <si>
    <t>(state)</t>
  </si>
  <si>
    <t>(zip code)</t>
  </si>
  <si>
    <t>Page 10b</t>
  </si>
  <si>
    <t>Page 10c</t>
  </si>
  <si>
    <t>MHP Fund Permanent Loan</t>
  </si>
  <si>
    <t>Other Permanent Senior Mortgage</t>
  </si>
  <si>
    <t>Page 10d</t>
  </si>
  <si>
    <t>Development Plan</t>
  </si>
  <si>
    <t>Development Type (Please check all that apply.)</t>
  </si>
  <si>
    <t xml:space="preserve"> </t>
  </si>
  <si>
    <t xml:space="preserve">   New construction</t>
  </si>
  <si>
    <t>Proposed Housing Type</t>
  </si>
  <si>
    <t>Project Description:</t>
  </si>
  <si>
    <t>Development Schedule:</t>
  </si>
  <si>
    <t>Section 1.  Project Description</t>
  </si>
  <si>
    <t>Page 2</t>
  </si>
  <si>
    <t xml:space="preserve">Unit Mix: </t>
  </si>
  <si>
    <t>Low-Income</t>
  </si>
  <si>
    <t>Other Income</t>
  </si>
  <si>
    <t>Market</t>
  </si>
  <si>
    <t>Total</t>
  </si>
  <si>
    <t>Rental Assisted</t>
  </si>
  <si>
    <t>below 50%</t>
  </si>
  <si>
    <t>below 60%</t>
  </si>
  <si>
    <t>Rate</t>
  </si>
  <si>
    <t>Units</t>
  </si>
  <si>
    <t>What are the rehabilitation costs which are not qualified for historic credits?</t>
  </si>
  <si>
    <t>Total Units</t>
  </si>
  <si>
    <t>Home Units*</t>
  </si>
  <si>
    <t xml:space="preserve"> of median income</t>
  </si>
  <si>
    <t>Average</t>
  </si>
  <si>
    <t>All Incomes</t>
  </si>
  <si>
    <t>Funding Applied For:</t>
  </si>
  <si>
    <t>Please check all the funding that is being applied for at this time, with this application:</t>
  </si>
  <si>
    <t>Massachusetts Housing Finance Agency (select all that apply):</t>
  </si>
  <si>
    <t xml:space="preserve">     Official Action Status ...................................................................................................................</t>
  </si>
  <si>
    <t xml:space="preserve">     Permanent Financing ...................................................................................................</t>
  </si>
  <si>
    <t>Massachusetts Housing Partnership (MHP) Fund:</t>
  </si>
  <si>
    <t xml:space="preserve">     Permanent Rental Financing Program ..............................................................................</t>
  </si>
  <si>
    <t>Massachusetts Housing Investment Corporation (select all that apply):</t>
  </si>
  <si>
    <t xml:space="preserve">     Debt Financing ..............................................................................................................</t>
  </si>
  <si>
    <t>7.</t>
  </si>
  <si>
    <t>Optional User Calculations</t>
  </si>
  <si>
    <t>You cannot change any of the values that are already listed in the boxes.</t>
  </si>
  <si>
    <t xml:space="preserve">     Tax Credit Equity Investment ..................................................................................................</t>
  </si>
  <si>
    <t>Page 3</t>
  </si>
  <si>
    <t>HOME Funds, as Grant</t>
  </si>
  <si>
    <t>Total Public Equity</t>
  </si>
  <si>
    <t xml:space="preserve">     Letter of Credit Requirements</t>
  </si>
  <si>
    <t>Total Permanent Senior Debt</t>
  </si>
  <si>
    <t>Total Permanent Sources</t>
  </si>
  <si>
    <t xml:space="preserve">Other Interim Loan </t>
  </si>
  <si>
    <t xml:space="preserve">Syndication Bridge Loan </t>
  </si>
  <si>
    <t xml:space="preserve">Gross Sales From Units </t>
  </si>
  <si>
    <t xml:space="preserve">Cost of Sales (Commissions, etc.) </t>
  </si>
  <si>
    <t xml:space="preserve">Net Receipt from Sales </t>
  </si>
  <si>
    <t xml:space="preserve">Minimum Debt Service Coverage </t>
  </si>
  <si>
    <t>When and how are they used?</t>
  </si>
  <si>
    <t>Who administers the reserves?</t>
  </si>
  <si>
    <t>Who requires the reserves?</t>
  </si>
  <si>
    <t>Under what circumstances can they be released?</t>
  </si>
  <si>
    <t>Debt Service Payment</t>
  </si>
  <si>
    <t>Loan Constant</t>
  </si>
  <si>
    <t>[Note:  This page represents a rough estimate of low income credits for which this project may be eligible. It does not represent a final determination.]</t>
  </si>
  <si>
    <t>* Some or all of these costs will typically be allocated to intangible assets or expensed.</t>
  </si>
  <si>
    <t/>
  </si>
  <si>
    <t>New</t>
  </si>
  <si>
    <t>Number of buildings planned:</t>
  </si>
  <si>
    <t>Construction</t>
  </si>
  <si>
    <t>Rehabilitation</t>
  </si>
  <si>
    <t>DHCD Monitoring Fee</t>
  </si>
  <si>
    <t>Number of units:</t>
  </si>
  <si>
    <t>Gross Square Footage</t>
  </si>
  <si>
    <t>Net Rentable Square Footage:</t>
  </si>
  <si>
    <t>Percent of Gross</t>
  </si>
  <si>
    <t xml:space="preserve"> s.f.</t>
  </si>
  <si>
    <t>Number of handicapped accessible units</t>
  </si>
  <si>
    <t>Project Address:</t>
  </si>
  <si>
    <t>Total no. of parking spaces:</t>
  </si>
  <si>
    <t>MA</t>
  </si>
  <si>
    <t>HOME Funding through DHCD ............................................................................................</t>
  </si>
  <si>
    <t>Boston Department of Neighborhood Development (DND):</t>
  </si>
  <si>
    <t>Are the following provided with the housing units:</t>
  </si>
  <si>
    <t xml:space="preserve">       a.  Range? ........................................................</t>
  </si>
  <si>
    <t xml:space="preserve">       b.  Refrigerator? ..........................................</t>
  </si>
  <si>
    <t xml:space="preserve">       c.  Microwave? ................................................</t>
  </si>
  <si>
    <t xml:space="preserve">       d.  Dishwasher? .................................................</t>
  </si>
  <si>
    <t xml:space="preserve">       e.  Disposal? .........................................................</t>
  </si>
  <si>
    <t xml:space="preserve">       f.  Washer/Dryer Hookup? ..............................</t>
  </si>
  <si>
    <t xml:space="preserve">       g.  Washer &amp; Dryer? ..........................................</t>
  </si>
  <si>
    <t xml:space="preserve">       h.  Wall-to-wall Carpet? .......................................</t>
  </si>
  <si>
    <t xml:space="preserve">       i.  Window Air Conditioner? ..................................</t>
  </si>
  <si>
    <t xml:space="preserve">       j.  Central Air Conditioning? ...............................</t>
  </si>
  <si>
    <t>Are the following included in the rent:</t>
  </si>
  <si>
    <t xml:space="preserve">       a.  Heat? .............................................................</t>
  </si>
  <si>
    <t xml:space="preserve">       b.  Domestic Electricity? ...................................</t>
  </si>
  <si>
    <t xml:space="preserve">       c.  Cooking Fuel? ................................................</t>
  </si>
  <si>
    <t xml:space="preserve">       d.  Hot Water? ...................................................</t>
  </si>
  <si>
    <t>Type of heating fuel:</t>
  </si>
  <si>
    <t>Gas</t>
  </si>
  <si>
    <t>Oil</t>
  </si>
  <si>
    <t>Electric</t>
  </si>
  <si>
    <t xml:space="preserve">Outdoor: </t>
  </si>
  <si>
    <t xml:space="preserve">Enclosed: </t>
  </si>
  <si>
    <t>Number of parking spaces exclusively for the use of tenants:</t>
  </si>
  <si>
    <t>E-mail</t>
  </si>
  <si>
    <t>Principal (if corporate)</t>
  </si>
  <si>
    <t xml:space="preserve">   a. Residential</t>
  </si>
  <si>
    <t xml:space="preserve">Total:  </t>
  </si>
  <si>
    <t xml:space="preserve">   b. Commercial</t>
  </si>
  <si>
    <t>Page 4</t>
  </si>
  <si>
    <t xml:space="preserve">       a.  Major systems to be replaced:</t>
  </si>
  <si>
    <t xml:space="preserve">       b.  Substandard conditions and structural deficiencies to be repaired:</t>
  </si>
  <si>
    <t xml:space="preserve">       c.  Special features/adaptations for special needs clients to be housed:</t>
  </si>
  <si>
    <t>Are energy conservation materials in excess of the Building Code?</t>
  </si>
  <si>
    <t>Exhibits</t>
  </si>
  <si>
    <t>Included</t>
  </si>
  <si>
    <t>Not Included</t>
  </si>
  <si>
    <t>Sent Under Separate Cover</t>
  </si>
  <si>
    <t xml:space="preserve">       a.  Insulation ..............................................................</t>
  </si>
  <si>
    <t xml:space="preserve">       b.  Windows .................................................................</t>
  </si>
  <si>
    <t xml:space="preserve">       c.  Heating system .................................................</t>
  </si>
  <si>
    <t>Square Feet</t>
  </si>
  <si>
    <t>Acres</t>
  </si>
  <si>
    <t>Size of Site:</t>
  </si>
  <si>
    <t>Wetlands area:</t>
  </si>
  <si>
    <t>Buildable area:</t>
  </si>
  <si>
    <t xml:space="preserve">Existing Conditions: </t>
  </si>
  <si>
    <t>What is the present use of the property?</t>
  </si>
  <si>
    <t>Number of existing structures:</t>
  </si>
  <si>
    <t>Gross s.f. of existing structures:</t>
  </si>
  <si>
    <t>If rehabilitation:</t>
  </si>
  <si>
    <t xml:space="preserve">   a.  Number of existing residential units/bedrooms:</t>
  </si>
  <si>
    <t xml:space="preserve">   b.  Number of units/bedrooms currently occupied:</t>
  </si>
  <si>
    <t>If site includes commercial space:</t>
  </si>
  <si>
    <t xml:space="preserve">   a.  Square footage of existing commercial space:</t>
  </si>
  <si>
    <t xml:space="preserve">  square feet</t>
  </si>
  <si>
    <t xml:space="preserve">   b.  Square footage currently occupied:</t>
  </si>
  <si>
    <t>What are the surrounding land uses?</t>
  </si>
  <si>
    <t>Utilities:</t>
  </si>
  <si>
    <t>b. Storm sewer?</t>
  </si>
  <si>
    <t>c. Public water?</t>
  </si>
  <si>
    <t>d. Electricity?</t>
  </si>
  <si>
    <t>e. Gas?</t>
  </si>
  <si>
    <t xml:space="preserve">    to the site?</t>
  </si>
  <si>
    <t>Page 5</t>
  </si>
  <si>
    <t>Zoning:</t>
  </si>
  <si>
    <t>Site Control:</t>
  </si>
  <si>
    <t xml:space="preserve">What form of site control do you have?  </t>
  </si>
  <si>
    <t>Ownership</t>
  </si>
  <si>
    <t>Purchase and Sale Agreement(s)</t>
  </si>
  <si>
    <t>Option</t>
  </si>
  <si>
    <t>Designated Developer (by public agency)</t>
  </si>
  <si>
    <t>Other:</t>
  </si>
  <si>
    <t>$</t>
  </si>
  <si>
    <t>Are there any outstanding liens on the property?</t>
  </si>
  <si>
    <t>Amenities and Services:</t>
  </si>
  <si>
    <t>Please indicate distance from site and locate on city/town map (Exhibit 1).</t>
  </si>
  <si>
    <t>Distance</t>
  </si>
  <si>
    <t xml:space="preserve">  miles</t>
  </si>
  <si>
    <t>Financing from MassDevelopment</t>
  </si>
  <si>
    <t>Financing from Massdevelopment………………………………</t>
  </si>
  <si>
    <t xml:space="preserve">       b.  Schools .................................................................</t>
  </si>
  <si>
    <t xml:space="preserve">       c.  Hospitals ................................................................</t>
  </si>
  <si>
    <t xml:space="preserve">       d.  Parks and recreational facilities ...........................</t>
  </si>
  <si>
    <t xml:space="preserve">       e.  Police station ........................................................</t>
  </si>
  <si>
    <t xml:space="preserve">       f.  Fire station .............................................................</t>
  </si>
  <si>
    <t xml:space="preserve">       g.  Public transportation .............................................</t>
  </si>
  <si>
    <t>Page 17a</t>
  </si>
  <si>
    <t>Type</t>
  </si>
  <si>
    <t>Number</t>
  </si>
  <si>
    <t>Current</t>
  </si>
  <si>
    <t>SCHEDULE 1: Cash</t>
  </si>
  <si>
    <t>Name of Bank/ Money Market Fund</t>
  </si>
  <si>
    <t>Deposit Balances</t>
  </si>
  <si>
    <t>Loan Balance</t>
  </si>
  <si>
    <t>Is Loan Secured?</t>
  </si>
  <si>
    <t>Ownership (Applicant, Co-Applicant or Joint With Third Party)</t>
  </si>
  <si>
    <t>SCHEDULE 2: Marketable Securities</t>
  </si>
  <si>
    <t>Bonds- Face Value                 Stock- Number of Shares</t>
  </si>
  <si>
    <t>Description of Security</t>
  </si>
  <si>
    <t>Cost</t>
  </si>
  <si>
    <t>Market Value</t>
  </si>
  <si>
    <t>Are there any securities pledged? If so, to whom and percentage</t>
  </si>
  <si>
    <t>Brokerage Margin Loans</t>
  </si>
  <si>
    <t>SCHEDULE 3: Non-Marketable Securities</t>
  </si>
  <si>
    <t>Date Acquired</t>
  </si>
  <si>
    <t>Book Value</t>
  </si>
  <si>
    <t>Estimated Market value</t>
  </si>
  <si>
    <t>SCHEDULE 4: Consumer Loans (For additional space, insert more rows or use an additional sheet)</t>
  </si>
  <si>
    <t>Auto Loans/CreditCards/Credit Unions/Charge Accounts etc.</t>
  </si>
  <si>
    <t>Total Monthly Payments</t>
  </si>
  <si>
    <t>Total Amount Outstanding</t>
  </si>
  <si>
    <t>SCHEDULE 5: Real Estate For Personal Use</t>
  </si>
  <si>
    <t>Property Address</t>
  </si>
  <si>
    <t>Legal Owner</t>
  </si>
  <si>
    <t>Purchase Year</t>
  </si>
  <si>
    <t>Purchase Price</t>
  </si>
  <si>
    <t>Present Loan Balance</t>
  </si>
  <si>
    <t>Loan Maturity Date</t>
  </si>
  <si>
    <t>Lender</t>
  </si>
  <si>
    <t>SCHEDULE 6: Real Estate For Investment</t>
  </si>
  <si>
    <t>Percent Interest</t>
  </si>
  <si>
    <t>SCHEDULE 7: Cash flow Information on Real Estate</t>
  </si>
  <si>
    <t>No. Res. Units</t>
  </si>
  <si>
    <t>Annual Income (A)</t>
  </si>
  <si>
    <t>Annual Expenses (B)</t>
  </si>
  <si>
    <t>Net Operating Income (A-B)</t>
  </si>
  <si>
    <t>Annual Cash Flow (A-B-C)</t>
  </si>
  <si>
    <t>SCHEDULE 8: Accounts/ Notes Receivable</t>
  </si>
  <si>
    <t>Date of Accounts/ Notes Receivable</t>
  </si>
  <si>
    <t>Due From</t>
  </si>
  <si>
    <t>Original Amount</t>
  </si>
  <si>
    <t>Present Balance</t>
  </si>
  <si>
    <t>Repayment Terms</t>
  </si>
  <si>
    <t>SCHEDULE 9: Accounts/ Notes/ Taxes Receivable</t>
  </si>
  <si>
    <t>SCHEDULE 10: Life Insurance (for additional space, insert more rows or use an additional sheet.)</t>
  </si>
  <si>
    <t>Insurance Company</t>
  </si>
  <si>
    <t>Face Amount of Policy</t>
  </si>
  <si>
    <t>Type of Policy</t>
  </si>
  <si>
    <t>Beneficiary</t>
  </si>
  <si>
    <t>Cash Surrender Value</t>
  </si>
  <si>
    <t>Amount Borrowed</t>
  </si>
  <si>
    <t>SCHEDULE 11: Limited Partnerships/ Tax Shelter Investments</t>
  </si>
  <si>
    <t>Investments</t>
  </si>
  <si>
    <t>Cash Invested</t>
  </si>
  <si>
    <t>Promissory Note Presently Outstanding</t>
  </si>
  <si>
    <t>Present Outstandings Under Letters of Credit, if any</t>
  </si>
  <si>
    <t>Bank Opening Letter of Credit</t>
  </si>
  <si>
    <t>SCHEDULE 12: Privately Owned Businesses or Professional Practices</t>
  </si>
  <si>
    <t>Business Name and Address</t>
  </si>
  <si>
    <t>Type of Business</t>
  </si>
  <si>
    <t>Date of Investment</t>
  </si>
  <si>
    <t>Original Investment Cost</t>
  </si>
  <si>
    <t>Percentage of Ownership</t>
  </si>
  <si>
    <t>Present Net Book Value of Investment</t>
  </si>
  <si>
    <t>SCHEDULE 13: Other Liabilities (including lines of credit)</t>
  </si>
  <si>
    <t>Item</t>
  </si>
  <si>
    <t>Amount Due</t>
  </si>
  <si>
    <t>Date Due</t>
  </si>
  <si>
    <t>Identify Security, if any</t>
  </si>
  <si>
    <t>SCHEDULE 14: Personal Effects</t>
  </si>
  <si>
    <t>Estimated Present Value</t>
  </si>
  <si>
    <t>SCHEDULE 15: Other Major Assets</t>
  </si>
  <si>
    <t>SCHEDULE 16: Contingent or Deferred Assets; I.E. IRA's, Pensions, Stock Option (See Instructions)</t>
  </si>
  <si>
    <t>SCHEDULE 17: Contingent Liabilities(See Instructions)</t>
  </si>
  <si>
    <t>SCHEDULE 18: Income</t>
  </si>
  <si>
    <t>Last Year's Actual Income</t>
  </si>
  <si>
    <t>Applicant</t>
  </si>
  <si>
    <t>Co-Applicant</t>
  </si>
  <si>
    <t>Combined</t>
  </si>
  <si>
    <t>Salary and/or Net Professional Income</t>
  </si>
  <si>
    <t>Bonus and commissions</t>
  </si>
  <si>
    <t>Interest and Dividends</t>
  </si>
  <si>
    <t>Net Real Estate Income</t>
  </si>
  <si>
    <t>Capital Gains (Losses)</t>
  </si>
  <si>
    <t>Other Income (Describe)</t>
  </si>
  <si>
    <t>TOTAL:</t>
  </si>
  <si>
    <t>This Year's Estimated Income</t>
  </si>
  <si>
    <t>SCHEDULE 19: Annual Expenses</t>
  </si>
  <si>
    <t>Last Year's Actual</t>
  </si>
  <si>
    <t>Current Year's Estimates</t>
  </si>
  <si>
    <t>Income Tax</t>
  </si>
  <si>
    <t>Condo/ Coop Maintainance</t>
  </si>
  <si>
    <t>Mortgage Payments</t>
  </si>
  <si>
    <t>Rental Payments</t>
  </si>
  <si>
    <t>Tuition</t>
  </si>
  <si>
    <t>Alimony, Child Support, Maintainance</t>
  </si>
  <si>
    <t>Medical Expenses</t>
  </si>
  <si>
    <t>Utilities(heat, gas, electricity, telephone etc.)</t>
  </si>
  <si>
    <t>Other Household expenses (food, clothing)</t>
  </si>
  <si>
    <t>Total Monthly Payments for Other Debt Owned</t>
  </si>
  <si>
    <t>Other Expenses</t>
  </si>
  <si>
    <t>Comments/ Remarks</t>
  </si>
  <si>
    <t>Family Information</t>
  </si>
  <si>
    <t>Relation</t>
  </si>
  <si>
    <t>Date of Birth</t>
  </si>
  <si>
    <t>Dependent (Yes/ No)</t>
  </si>
  <si>
    <t>Social Security #</t>
  </si>
  <si>
    <t>Special Health Factors (Yes/No)</t>
  </si>
  <si>
    <t>SCHEDULE 20</t>
  </si>
  <si>
    <t>ASSETS</t>
  </si>
  <si>
    <t>LIABILITIES</t>
  </si>
  <si>
    <t>CASH from Schedule 1</t>
  </si>
  <si>
    <t>BANK LOANS from Schedule 1</t>
  </si>
  <si>
    <t>MARKETABLE SECURITIES from Schedule 2</t>
  </si>
  <si>
    <t>MARGIN LOANS from Schedule2</t>
  </si>
  <si>
    <t>NON-MARKETABLE SECURITIES from Schedule 3</t>
  </si>
  <si>
    <t>CONSUMER DEBT from Schedule 4</t>
  </si>
  <si>
    <t>REAL ESTATE PERSONAL USE   from Schedule 5</t>
  </si>
  <si>
    <t>MORTGAGES ON PERSONAL REAL ESTATE from Schedule 5</t>
  </si>
  <si>
    <t>REAL ESTATE INVESTMENTS from Schedule 6</t>
  </si>
  <si>
    <r>
      <t>MORTGAGES ON REAL ESTATE INVESTMENTS</t>
    </r>
    <r>
      <rPr>
        <sz val="10"/>
        <rFont val="Times New Roman"/>
        <family val="1"/>
      </rPr>
      <t xml:space="preserve"> from Schedule 6</t>
    </r>
  </si>
  <si>
    <t>ACCOUNTS/ NOTES RECEIVABLE from Schedule 8</t>
  </si>
  <si>
    <t>ACCOUNTS/NOTES/TAXES PAYABLE from Schedule 9</t>
  </si>
  <si>
    <t>CASH VALUE LIFE INSURANCE from Schedule 10</t>
  </si>
  <si>
    <r>
      <t xml:space="preserve">LOANS AGAINST LIFE INSURANCE </t>
    </r>
    <r>
      <rPr>
        <sz val="10"/>
        <rFont val="Times New Roman"/>
        <family val="1"/>
      </rPr>
      <t>from  Schedule 10</t>
    </r>
  </si>
  <si>
    <t>TAX SHELTER INVESTMENTS from Schedule 11</t>
  </si>
  <si>
    <t>TAX SHELTER NOTES PAYABLE from Schedule 11</t>
  </si>
  <si>
    <r>
      <t xml:space="preserve">PRIVATELY OWNED BUSINESSES </t>
    </r>
    <r>
      <rPr>
        <sz val="10"/>
        <rFont val="Times New Roman"/>
        <family val="1"/>
      </rPr>
      <t>from Schedule 12</t>
    </r>
  </si>
  <si>
    <t>OTHER LIABILITIES from Schedule 13</t>
  </si>
  <si>
    <t>PERSONAL EFFECTS from Schedule 14</t>
  </si>
  <si>
    <t>TOTAL LIABILITIES</t>
  </si>
  <si>
    <t>OTHER ASSETS from Schedule 15</t>
  </si>
  <si>
    <t>NET WORTH (Total Assets - Total Liabilities)</t>
  </si>
  <si>
    <t>TOTAL ASSETS</t>
  </si>
  <si>
    <t>TOTAL LIABILITIES + NET WORTH</t>
  </si>
  <si>
    <t>CONTINGENT OR DEFERRED ASSETS from Schedule 16</t>
  </si>
  <si>
    <t>CONTINGENT LIABILITIES from Schedule 17</t>
  </si>
  <si>
    <t>CURRENT INCOME from Schedule 18</t>
  </si>
  <si>
    <t xml:space="preserve"> I understand that the credit approval of participating lenders is subject to verification and investigation.  I authorize participating lenders to obtain and release credit information in connection with this statement and with respect to any credit granted. This is a true and accurate statement of my financial condition.  Should my financial condition change at any time while I am under obligation to participating lenders, I will promptly notify them in writing of this change.  While under such obligation, I will provide annually an updated financial statement.</t>
  </si>
  <si>
    <t>Applicant Signature</t>
  </si>
  <si>
    <t>Date</t>
  </si>
  <si>
    <t>Co-Applicant Signature</t>
  </si>
  <si>
    <t xml:space="preserve">Exhibit 31: </t>
  </si>
  <si>
    <t>Mortgagor Personal Financial Statement</t>
  </si>
  <si>
    <t>Personal Financial Statement as of :</t>
  </si>
  <si>
    <t>CHECK ONE</t>
  </si>
  <si>
    <t>First Name                        Middle Initial                       Last Name</t>
  </si>
  <si>
    <t>Street Address</t>
  </si>
  <si>
    <t>Home Tel. #</t>
  </si>
  <si>
    <t>City                                State                                 Zip Code</t>
  </si>
  <si>
    <t>Business Name</t>
  </si>
  <si>
    <t>Position</t>
  </si>
  <si>
    <t>Business Address</t>
  </si>
  <si>
    <t>Business Tel. #</t>
  </si>
  <si>
    <t>Dependents(excluding spouse)</t>
  </si>
  <si>
    <t>(See Page 7)</t>
  </si>
  <si>
    <t>IF JOINT STATEMENT: CO-APPLICANT</t>
  </si>
  <si>
    <t>Name, address of account manager at your present bank</t>
  </si>
  <si>
    <t>Name, address of your accountant</t>
  </si>
  <si>
    <t>Name, address of your securities broker or investment advisor</t>
  </si>
  <si>
    <t>Name, address of your lawyer</t>
  </si>
  <si>
    <t>Name, address of your insurance advisor</t>
  </si>
  <si>
    <t>Name, address of your financial advisor</t>
  </si>
  <si>
    <t>Name, address of person having a durable power of attorney</t>
  </si>
  <si>
    <t>PLEASE ANSWER THE FOLLOWING QUESTIONS: (Please explain on Page 7 when the answer is "Yes")</t>
  </si>
  <si>
    <t>1. Are you a defendant in any suit or legal action?</t>
  </si>
  <si>
    <t>1.21</t>
  </si>
  <si>
    <t xml:space="preserve">2. Are you presently subject to any unsatisfied judgments or tax liens?    </t>
  </si>
  <si>
    <t xml:space="preserve">3. Have you ever been through bankruptcy or settled any debts for less than the amount owed?   </t>
  </si>
  <si>
    <t xml:space="preserve">4. Are any of your income tax returns currently being audited?   </t>
  </si>
  <si>
    <t xml:space="preserve">    If yes, what years?</t>
  </si>
  <si>
    <t xml:space="preserve">5. Are all of your state and federal income taxes current?     </t>
  </si>
  <si>
    <t xml:space="preserve">6. Are you a maker, co-maker or guarantor on any financial obligation that is in default or has      </t>
  </si>
  <si>
    <t xml:space="preserve"> been demanded?</t>
  </si>
  <si>
    <t>How to fill out your Personal Financial Statement</t>
  </si>
  <si>
    <t>Where do I find the version number for the current OneStop file?</t>
  </si>
  <si>
    <t xml:space="preserve"> I cannot send the OneStop file to any of the agencies because the file size is too large to fit on a floppy disc or to be emailed</t>
  </si>
  <si>
    <t>Each of the participating lenders has agreed to keep all personal financial records confidential. Information about your spouse need not be included unless this is a joint statement with your spouse or if you are relying on his or her income or assets to obtain credit. Participating lenders are not required to consider jointly held assets in evaluating a jointly held credit request. All parties whose assets are relied on will be requested to sign notes or other documents required in connection with credit extended.  Please read everything carefully. As you complete each schedule, you will notice that the totals appear in a doubly outlined block.  These blocks will provide the information you need for the financial summary on the last page of this form. If there is nothing to report indicate “none” on the schedule and “0” on the financial summary.  If you have any questions, please call the participating lender to whom this form will be submitted.</t>
  </si>
  <si>
    <t>SCHEDULE 1</t>
  </si>
  <si>
    <t>Cash Accounts. Please include all account relationships you have with a bank/money market fund, such as a checking and savings accounts, bank loans, Certificates of Deposit, money market funds, etc. However, do not include mortgages or consumer loans.</t>
  </si>
  <si>
    <t>SCHEDULE 2</t>
  </si>
  <si>
    <t>Marketable Securities. This should show all marketable securities owned by you, including Stocks and Bonds registered and traded on national exchanges or over the counter, Treasury Bills, Municipal Bonds, Commercial Paper, and Margin Loans with brokerage firms.  If there is not enough space, please attach a separate sheet and enter the totals only.</t>
  </si>
  <si>
    <t>SCHEDULE 3</t>
  </si>
  <si>
    <t>Non-Marketable Securities. Please include non-marketable securities and investments (those not publicly traded), as well as restricted stock. If any of the securities are pledged, please explain. You do not need to include privately owned businesses or professional practices, as there is a separate schedule for this.</t>
  </si>
  <si>
    <t>SCHEDULE 4</t>
  </si>
  <si>
    <t>Consumer Loans. Please indicate all installment loans, including auto loans, credit cards, charge accounts, etc..</t>
  </si>
  <si>
    <t>SCHEDULE 5</t>
  </si>
  <si>
    <t>Real Estate for Personal Use. Please include all pertinent information on first and second mortgages.</t>
  </si>
  <si>
    <t>SCHEDULE 6</t>
  </si>
  <si>
    <t>Real Estate for Investment. This should include the same information as above, but for investment property, including any second mortgages.</t>
  </si>
  <si>
    <t>SCHEDULE 7</t>
  </si>
  <si>
    <t>Cash Flow Information on Real Estate</t>
  </si>
  <si>
    <t>SCHEDULE 8</t>
  </si>
  <si>
    <t>Accounts/Notes Receivable.</t>
  </si>
  <si>
    <t>SCHEDULE 9</t>
  </si>
  <si>
    <t>Accounts/Notes/Taxes Payable. Please include repayment terms and collateral.</t>
  </si>
  <si>
    <t>SCHEDULE 10</t>
  </si>
  <si>
    <t>Life Insurance. This should include cash surrender value and any amount you may have borrowed against your life insurance.</t>
  </si>
  <si>
    <t>SCHEDULE 11</t>
  </si>
  <si>
    <t>Limited Partnership Investments.</t>
  </si>
  <si>
    <t>SCHEDULE 12</t>
  </si>
  <si>
    <t>Privately Owned  Businesses or Professional Practices. Please indicate what percentage is owned by you, and the present net book value of your investment.</t>
  </si>
  <si>
    <t>SCHEDULE 13</t>
  </si>
  <si>
    <t>Other Liabilities. Please show all liabilities not previously noted, including alimony or child support you must pay.</t>
  </si>
  <si>
    <t>SCHEDULE 14</t>
  </si>
  <si>
    <t>Personal Effects. Please list any items which you feel are significant enough to note, including automobiles, jewelry, furs, antiques, oriental rugs, objects of art, paintings, stamp and coin collections.</t>
  </si>
  <si>
    <t>SCHEDULE 15</t>
  </si>
  <si>
    <t>Other Major Assets. Please list any items not already included, such as airplanes, boats, or seats on exchanges.</t>
  </si>
  <si>
    <t>SCHEDULE 16</t>
  </si>
  <si>
    <t>Contingent or Deferred Assets. These should include trusts, vested pensions, deferred income, stock options, hypothecated securities, 401K plans, IRAs, and profit sharing plans.</t>
  </si>
  <si>
    <t>SCHEDULE 17</t>
  </si>
  <si>
    <t>Contingent Liabilities. Please list any contingent liabilities on leases, legal claims, contracts, stand-by letters of credit, and as a co-maker, surety, endorser, or guarantor for debts of others.</t>
  </si>
  <si>
    <t>SCHEDULE 18</t>
  </si>
  <si>
    <t>Income. You do not need to include alimony, child support, or separate maintenance income unless you would like it to be considered in evaluating creditworthiness.</t>
  </si>
  <si>
    <t>SCHEDULE 19</t>
  </si>
  <si>
    <t>Annual Expenses. Please give a fair estimate of all your major expenses.</t>
  </si>
  <si>
    <t>Assets and Liabilities. Please insert the totals indicated in the boldly outlined blocks throughout this form. Please make sure the figures are correct, and sign at the bottom.</t>
  </si>
  <si>
    <t xml:space="preserve">Note: The following questions must be answered only if the applicant is applying to MHIC or MHP. </t>
  </si>
  <si>
    <t>These questions need not be answered if the applicant is only applying to DHCD, MHFA, the Land Bank, and/or the City of Boston.</t>
  </si>
  <si>
    <t>Date of document(s)</t>
  </si>
  <si>
    <t>Name of Executor/ Trustee</t>
  </si>
  <si>
    <t>If yes, please explain on Page 7.</t>
  </si>
  <si>
    <t>If yes, please explain.</t>
  </si>
  <si>
    <t>1. Do you have a Will/ Trust?</t>
  </si>
  <si>
    <t>2. Have you made any substantial gifts in the last three years?</t>
  </si>
  <si>
    <t>3. Are you the beneficiary of any trust that if currently funded but not yet available for your use?</t>
  </si>
  <si>
    <t>4. Do you anticipate any substantial inheritances?</t>
  </si>
  <si>
    <t xml:space="preserve">Annualized </t>
  </si>
  <si>
    <t>Income</t>
  </si>
  <si>
    <t>Rent GPR</t>
  </si>
  <si>
    <t>Gross Potential Rental Income</t>
  </si>
  <si>
    <t>Effective Gross Income</t>
  </si>
  <si>
    <t>Administration</t>
  </si>
  <si>
    <t>Management fee</t>
  </si>
  <si>
    <t>Maintance/Operations</t>
  </si>
  <si>
    <t>Real Esate Taxes</t>
  </si>
  <si>
    <t>Total Expenses</t>
  </si>
  <si>
    <t>Reason</t>
  </si>
  <si>
    <t>Transaction Description:</t>
  </si>
  <si>
    <t xml:space="preserve">       h.  Houses of worship ................................................</t>
  </si>
  <si>
    <t xml:space="preserve">       i.  City/Town Hall ........................................................</t>
  </si>
  <si>
    <t>Page 6</t>
  </si>
  <si>
    <t>Environmental Information</t>
  </si>
  <si>
    <t>Is there any evidence of underground storage tanks or releases of oil</t>
  </si>
  <si>
    <t>or hazardous materials, including hazardous wastes, on the site or</t>
  </si>
  <si>
    <t>within close proximity to the site?</t>
  </si>
  <si>
    <t>Has a Chapter 21E assessment been performed?</t>
  </si>
  <si>
    <t>Does the project consist of either:  (a) new construction of more than</t>
  </si>
  <si>
    <t>100 units; or (b) substantial rehabilitation of more than 200 units, or</t>
  </si>
  <si>
    <t xml:space="preserve">FMR Information last updated on </t>
  </si>
  <si>
    <t xml:space="preserve">Income Limits last updated on </t>
  </si>
  <si>
    <t xml:space="preserve">QCT information last updated on: </t>
  </si>
  <si>
    <t>Other Income:</t>
  </si>
  <si>
    <t>MHFA Official Action Status.........................................................................</t>
  </si>
  <si>
    <t>MHFA Construction Financing...........................................................................</t>
  </si>
  <si>
    <t>Other……………………………………………………………………</t>
  </si>
  <si>
    <t>where more than 10% new floor space is added?</t>
  </si>
  <si>
    <t>Does the building require lead paint abatement?</t>
  </si>
  <si>
    <t>Does the building require asbestos abatement?</t>
  </si>
  <si>
    <t>Do radon tests show radon levels exceeding four picocuries/liter?</t>
  </si>
  <si>
    <t xml:space="preserve">Is there any evidence that the premises are insulated with urea </t>
  </si>
  <si>
    <t>formaldehyde foam (UFFI)?</t>
  </si>
  <si>
    <t>Is the site located in an historic district, or contain buildings listed or</t>
  </si>
  <si>
    <t>eligible for listing in the State Register of Historic Places?</t>
  </si>
  <si>
    <t>explosive petroleum products or chemicals within 1/2 mile of the site?</t>
  </si>
  <si>
    <t>Is the site located in a floodplain or wetlands area?</t>
  </si>
  <si>
    <t>Does the site contain endangered animal or plant species?</t>
  </si>
  <si>
    <t>highways within 1,000 feet, or rail traffic within 3,000 feet?</t>
  </si>
  <si>
    <t>Page 7</t>
  </si>
  <si>
    <t>Section  2</t>
  </si>
  <si>
    <t>DEVELOPMENT TEAM SUMMARY</t>
  </si>
  <si>
    <t>Developer/Sponsor:</t>
  </si>
  <si>
    <t>BRISTOL</t>
  </si>
  <si>
    <t>ESSEX</t>
  </si>
  <si>
    <t>MIDDLESEX</t>
  </si>
  <si>
    <t>Form of Legal Entity</t>
  </si>
  <si>
    <t>Legal Name</t>
  </si>
  <si>
    <t>Address</t>
  </si>
  <si>
    <t>Contact Person</t>
  </si>
  <si>
    <t>Telephone No.  /  Fax. No.</t>
  </si>
  <si>
    <t>Owner/Mortgagor:</t>
  </si>
  <si>
    <t>Month 23</t>
  </si>
  <si>
    <t>Month 24</t>
  </si>
  <si>
    <t>Month 25</t>
  </si>
  <si>
    <t>Month 26</t>
  </si>
  <si>
    <t>Month 27</t>
  </si>
  <si>
    <t>Month 28</t>
  </si>
  <si>
    <t>Month 29</t>
  </si>
  <si>
    <t>Month 30</t>
  </si>
  <si>
    <t>Month 31</t>
  </si>
  <si>
    <t>Month 32</t>
  </si>
  <si>
    <t>Month 33</t>
  </si>
  <si>
    <t>Principals</t>
  </si>
  <si>
    <t>General Partner:</t>
  </si>
  <si>
    <t>8.</t>
  </si>
  <si>
    <t>Cell Colors</t>
  </si>
  <si>
    <t>Cell colors</t>
  </si>
  <si>
    <t>These are indicated by red triangles in the upper right-hand corner of the cells.</t>
  </si>
  <si>
    <t>% of Ownership</t>
  </si>
  <si>
    <t>Section 2.  Development Team Summary</t>
  </si>
  <si>
    <t>Page 8</t>
  </si>
  <si>
    <t>Development Consultant:</t>
  </si>
  <si>
    <t>Contractor:</t>
  </si>
  <si>
    <t>Name</t>
  </si>
  <si>
    <t>Fed Tax ID #</t>
  </si>
  <si>
    <t>Architect:</t>
  </si>
  <si>
    <t>Management Agent:</t>
  </si>
  <si>
    <t>Attorney (Real Estate):</t>
  </si>
  <si>
    <t>Attorney (Tax):</t>
  </si>
  <si>
    <t>Syndicator:</t>
  </si>
  <si>
    <t>Page 9</t>
  </si>
  <si>
    <t>Guarantor:</t>
  </si>
  <si>
    <t>Service Provider or Coordinator:</t>
  </si>
  <si>
    <t>Marketing Agent:</t>
  </si>
  <si>
    <t xml:space="preserve">  Other role</t>
  </si>
  <si>
    <t>Is there any identity of interest between any members of the development team?</t>
  </si>
  <si>
    <t>Page 10a</t>
  </si>
  <si>
    <t>Principal</t>
  </si>
  <si>
    <t>Year</t>
  </si>
  <si>
    <t>Interest</t>
  </si>
  <si>
    <t>Amoritization</t>
  </si>
  <si>
    <t>Percent of total</t>
  </si>
  <si>
    <t>Beginning</t>
  </si>
  <si>
    <t>balance</t>
  </si>
  <si>
    <t>Ending</t>
  </si>
  <si>
    <t>Remaining</t>
  </si>
  <si>
    <t>amoritization</t>
  </si>
  <si>
    <t>term</t>
  </si>
  <si>
    <t>Sheet Metal and Flashing</t>
  </si>
  <si>
    <t>Geotechnical Conditions</t>
  </si>
  <si>
    <t>Exterior Siding</t>
  </si>
  <si>
    <t>Environmental Remediation</t>
  </si>
  <si>
    <t>Demolition</t>
  </si>
  <si>
    <t>Modular/Manufactured</t>
  </si>
  <si>
    <t>Elevators or Conveying Syst.</t>
  </si>
  <si>
    <t>Fire Protection</t>
  </si>
  <si>
    <t>Please describe the relationship of the development entity to sponsoring organizations.  Is the</t>
  </si>
  <si>
    <t>entity newly-formed or to-be-formed?  Is it a single-purpose corporation?  How will the</t>
  </si>
  <si>
    <t>parent corporation provide support to this entity?  Include an organizational chart showing</t>
  </si>
  <si>
    <t>other affiliates of the parent corporation, as appropriate, and principals of each.</t>
  </si>
  <si>
    <t>Page 10</t>
  </si>
  <si>
    <t>Section  3</t>
  </si>
  <si>
    <t>SOURCES AND USES OF FUNDS</t>
  </si>
  <si>
    <t>Sources of Funds</t>
  </si>
  <si>
    <t>Private Equity:</t>
  </si>
  <si>
    <t>Amount</t>
  </si>
  <si>
    <t>Future</t>
  </si>
  <si>
    <t>Rents</t>
  </si>
  <si>
    <t>Operations before this transaction:</t>
  </si>
  <si>
    <t>Operations after:</t>
  </si>
  <si>
    <t>AREANAME</t>
  </si>
  <si>
    <t>FMR0BR</t>
  </si>
  <si>
    <t>FMR1BR</t>
  </si>
  <si>
    <t>FMR2BR</t>
  </si>
  <si>
    <t>FMR3BR</t>
  </si>
  <si>
    <t>FMR4BR</t>
  </si>
  <si>
    <t>BERKSHIRE</t>
  </si>
  <si>
    <t>DUKES</t>
  </si>
  <si>
    <t>FRANKLIN</t>
  </si>
  <si>
    <t>HAMPDEN</t>
  </si>
  <si>
    <t>HAMPSHIRE</t>
  </si>
  <si>
    <t>NANTUCKET</t>
  </si>
  <si>
    <t>WORCESTER</t>
  </si>
  <si>
    <t>Application Date</t>
  </si>
  <si>
    <t>MHFA Permanent Financing ...........................................................................</t>
  </si>
  <si>
    <t>Other Source:</t>
  </si>
  <si>
    <t>Public Equity:</t>
  </si>
  <si>
    <t>Grant:</t>
  </si>
  <si>
    <t>Subordinate Debt (see definition):</t>
  </si>
  <si>
    <t>Amortiz.</t>
  </si>
  <si>
    <t>Term</t>
  </si>
  <si>
    <t xml:space="preserve">% </t>
  </si>
  <si>
    <t>yrs.</t>
  </si>
  <si>
    <t xml:space="preserve">       Source:</t>
  </si>
  <si>
    <t xml:space="preserve">Developer's Cash Equity </t>
  </si>
  <si>
    <t>Tax Credit Equity (net amount)</t>
  </si>
  <si>
    <t>Developer's Fee/Overhead, Contributed or Loaned</t>
  </si>
  <si>
    <t>Home Funds-DHCD, as Subordinate Debt</t>
  </si>
  <si>
    <t xml:space="preserve">Other Permanent Senior Mortgage </t>
  </si>
  <si>
    <t>Total Subordinate Debt</t>
  </si>
  <si>
    <t xml:space="preserve">Subordinate Debt </t>
  </si>
  <si>
    <t>Home Funds-Local, as Subordinate Debt</t>
  </si>
  <si>
    <t>TDC, Net per unit</t>
  </si>
  <si>
    <t xml:space="preserve">MHP Fund Permanent Loan </t>
  </si>
  <si>
    <t>Total Debt Service (Annual)</t>
  </si>
  <si>
    <t>Permanent Debt (Senior):</t>
  </si>
  <si>
    <t>Distance from site (ft.)</t>
  </si>
  <si>
    <t>Please Answer The Following</t>
  </si>
  <si>
    <t>Dev. Reserves</t>
  </si>
  <si>
    <t>Op. Reserves</t>
  </si>
  <si>
    <t>Construction Period Financing:</t>
  </si>
  <si>
    <t>%</t>
  </si>
  <si>
    <t>mos.</t>
  </si>
  <si>
    <t xml:space="preserve">    Source:</t>
  </si>
  <si>
    <t xml:space="preserve">    Repaid at:</t>
  </si>
  <si>
    <t xml:space="preserve"> (event)</t>
  </si>
  <si>
    <t>Section 3.  Sources and Uses of Funds</t>
  </si>
  <si>
    <t>Page 11</t>
  </si>
  <si>
    <t>Uses of Funds</t>
  </si>
  <si>
    <t>Direct Construction:</t>
  </si>
  <si>
    <t>Who prepared the estimates?</t>
  </si>
  <si>
    <t xml:space="preserve">DV  </t>
  </si>
  <si>
    <t xml:space="preserve">You need to Zip (compress) your completed OneStop2000 application  in order to fit it onto a standard floppy disk, </t>
  </si>
  <si>
    <t>Not applicable</t>
  </si>
  <si>
    <t>Trade Item</t>
  </si>
  <si>
    <t>Description</t>
  </si>
  <si>
    <t>Concrete</t>
  </si>
  <si>
    <t>Masonry</t>
  </si>
  <si>
    <t>Metals</t>
  </si>
  <si>
    <t>Rough Carpentry</t>
  </si>
  <si>
    <t>Finish Carpentry</t>
  </si>
  <si>
    <t>Waterproofing</t>
  </si>
  <si>
    <t>Insulation</t>
  </si>
  <si>
    <t>Roofing</t>
  </si>
  <si>
    <t>Doors</t>
  </si>
  <si>
    <t>Windows</t>
  </si>
  <si>
    <t>Glass</t>
  </si>
  <si>
    <t>Lath &amp; Plaster</t>
  </si>
  <si>
    <t>Drywall</t>
  </si>
  <si>
    <t>Tile Work</t>
  </si>
  <si>
    <t>Acoustical</t>
  </si>
  <si>
    <t>Wood Flooring</t>
  </si>
  <si>
    <t>Resilient Flooring</t>
  </si>
  <si>
    <t>VERSION NUMBER</t>
  </si>
  <si>
    <t>Paint &amp; Decorating</t>
  </si>
  <si>
    <t>Specialties</t>
  </si>
  <si>
    <t>Special Equipment</t>
  </si>
  <si>
    <t>Cabinets</t>
  </si>
  <si>
    <t>Appliances</t>
  </si>
  <si>
    <t>Blinds &amp; Shades</t>
  </si>
  <si>
    <t>Carpet</t>
  </si>
  <si>
    <t>Special Construction</t>
  </si>
  <si>
    <t>Plumbing &amp; Hot Water</t>
  </si>
  <si>
    <t>Heat &amp; Ventilation</t>
  </si>
  <si>
    <t>Air Conditioning</t>
  </si>
  <si>
    <t>Electrical</t>
  </si>
  <si>
    <t>Accessory Buildings</t>
  </si>
  <si>
    <t>Other/misc</t>
  </si>
  <si>
    <t>Subtotal Structural</t>
  </si>
  <si>
    <t>Earth Work</t>
  </si>
  <si>
    <t>Site Utilities</t>
  </si>
  <si>
    <t>Roads &amp; Walks</t>
  </si>
  <si>
    <t>Site Improvement</t>
  </si>
  <si>
    <t>Lawns &amp; Planting</t>
  </si>
  <si>
    <t>Unusual Site Cond</t>
  </si>
  <si>
    <t>Subtotal Site Work</t>
  </si>
  <si>
    <t>Total Improvements</t>
  </si>
  <si>
    <t>General Conditions</t>
  </si>
  <si>
    <t>Subtotal</t>
  </si>
  <si>
    <t>Builders Overhead</t>
  </si>
  <si>
    <t>Builders Profit</t>
  </si>
  <si>
    <t>TOTAL</t>
  </si>
  <si>
    <t>Page 12</t>
  </si>
  <si>
    <t>Development Budget:</t>
  </si>
  <si>
    <t>Residential</t>
  </si>
  <si>
    <t>Commercial</t>
  </si>
  <si>
    <t>Comments</t>
  </si>
  <si>
    <t>Acquisition:  Land</t>
  </si>
  <si>
    <t>Acquisition:  Building</t>
  </si>
  <si>
    <t>Acquisition Subtotal</t>
  </si>
  <si>
    <t>Direct Construction Budget</t>
  </si>
  <si>
    <t>Construction Contingency</t>
  </si>
  <si>
    <t xml:space="preserve">Number of buildings:  </t>
  </si>
  <si>
    <t>of construction</t>
  </si>
  <si>
    <t>Subtotal: Construction</t>
  </si>
  <si>
    <t>General Development Costs:</t>
  </si>
  <si>
    <t>Architecture &amp; Engineering</t>
  </si>
  <si>
    <t>Survey and Permits</t>
  </si>
  <si>
    <t>Clerk of the Works</t>
  </si>
  <si>
    <t>Environmental Engineer</t>
  </si>
  <si>
    <t>Bond Premium</t>
  </si>
  <si>
    <t>Legal</t>
  </si>
  <si>
    <t>Title and Recording</t>
  </si>
  <si>
    <t>Accounting &amp; Cost Certificat.</t>
  </si>
  <si>
    <t xml:space="preserve">     Construction Financing/Bridge Financing........................................................................................................</t>
  </si>
  <si>
    <t>Limited Liability Company</t>
  </si>
  <si>
    <t>Marketing and Rent Up</t>
  </si>
  <si>
    <t xml:space="preserve"> *HOME units included in the above totals.</t>
  </si>
  <si>
    <t xml:space="preserve">Other Income=Below </t>
  </si>
  <si>
    <t>An Environmental Notification Form (ENF) will most likely be required.</t>
  </si>
  <si>
    <t>Has an ENF been filed?</t>
  </si>
  <si>
    <t>Real Estate Taxes</t>
  </si>
  <si>
    <t>Insurance</t>
  </si>
  <si>
    <t>Relocation</t>
  </si>
  <si>
    <t>Appraisal</t>
  </si>
  <si>
    <t>Security</t>
  </si>
  <si>
    <t>COUNTY NAMES</t>
  </si>
  <si>
    <t>MSA  NAMES</t>
  </si>
  <si>
    <t>PEOPLE FACTOR</t>
  </si>
  <si>
    <t>BEDROOM</t>
  </si>
  <si>
    <t>PEOPLE</t>
  </si>
  <si>
    <t>% ADJUSTMENT</t>
  </si>
  <si>
    <t>TODAY'S DATE</t>
  </si>
  <si>
    <t>Construction Loan Interest</t>
  </si>
  <si>
    <t>Inspecting Engineer</t>
  </si>
  <si>
    <t>Fees to:</t>
  </si>
  <si>
    <t xml:space="preserve">   </t>
  </si>
  <si>
    <t>Credit Enhancement Fees</t>
  </si>
  <si>
    <t>Letter of Credit Fees</t>
  </si>
  <si>
    <t>Other Financing Fees</t>
  </si>
  <si>
    <t>Development Consultant</t>
  </si>
  <si>
    <t>Soft Cost Contingency</t>
  </si>
  <si>
    <t>of soft costs</t>
  </si>
  <si>
    <t>Subtotal:  Gen. Dev.</t>
  </si>
  <si>
    <t>Subtotal: Acquis., Const.,</t>
  </si>
  <si>
    <t xml:space="preserve">      and Gen. Dev.</t>
  </si>
  <si>
    <t>Capitalized Reserves</t>
  </si>
  <si>
    <t>Developer Overhead</t>
  </si>
  <si>
    <t>Developer Fee</t>
  </si>
  <si>
    <t>Total Development Cost</t>
  </si>
  <si>
    <t>Area median income for a family of four:</t>
  </si>
  <si>
    <t>Bedroom Types</t>
  </si>
  <si>
    <t>2 bedrooms</t>
  </si>
  <si>
    <t>3 bedrooms</t>
  </si>
  <si>
    <t>4 bedrooms</t>
  </si>
  <si>
    <t>5 bedrooms</t>
  </si>
  <si>
    <t>6 bedrooms</t>
  </si>
  <si>
    <t>Total Net* Development Cost</t>
  </si>
  <si>
    <t>Page 13</t>
  </si>
  <si>
    <t>Additional Detail on Development Pro-Forma:</t>
  </si>
  <si>
    <t>Off-Budget Costs:</t>
  </si>
  <si>
    <t>Syndication Costs:</t>
  </si>
  <si>
    <t xml:space="preserve">     Syndication Legal</t>
  </si>
  <si>
    <t xml:space="preserve">     Syndication Fees</t>
  </si>
  <si>
    <t xml:space="preserve">     Syndication Consultants</t>
  </si>
  <si>
    <t xml:space="preserve">     Bridge Financing Costs</t>
  </si>
  <si>
    <t xml:space="preserve">     Investor Servicing (capitalized)</t>
  </si>
  <si>
    <t>This MSA does not match the county you have chosen</t>
  </si>
  <si>
    <t>f. Purchase price if under agreement:</t>
  </si>
  <si>
    <t>e. Expiration Date:</t>
  </si>
  <si>
    <t>d. Agreement Date:</t>
  </si>
  <si>
    <t>c. Type of Agreement:</t>
  </si>
  <si>
    <t>b. Principals of seller corporation:</t>
  </si>
  <si>
    <t>a. Name of Seller:</t>
  </si>
  <si>
    <t xml:space="preserve">     Other Syndication Expenses</t>
  </si>
  <si>
    <t xml:space="preserve">     Total Syndication Expense</t>
  </si>
  <si>
    <t>Reserves (capitalized):</t>
  </si>
  <si>
    <t xml:space="preserve">     Development Reserves</t>
  </si>
  <si>
    <t xml:space="preserve">     Initial Rent-Up Reserves</t>
  </si>
  <si>
    <t xml:space="preserve">     Operating Reserves</t>
  </si>
  <si>
    <t xml:space="preserve">     Net Worth Account</t>
  </si>
  <si>
    <t xml:space="preserve">     Other Capitalized Reserves</t>
  </si>
  <si>
    <t>Total of the Above</t>
  </si>
  <si>
    <t>Unit Sales (For Sale Projects Only):</t>
  </si>
  <si>
    <t>Debt Service Requirements:</t>
  </si>
  <si>
    <t>Is this Project subject to HUD Subsidy Layering Review?</t>
  </si>
  <si>
    <t>Page 14</t>
  </si>
  <si>
    <t>Section  4</t>
  </si>
  <si>
    <t>OPERATING PRO-FORMA</t>
  </si>
  <si>
    <t>Maximum Rent Tables</t>
  </si>
  <si>
    <t>Operating Income</t>
  </si>
  <si>
    <t>Barnstable-Yarmouth</t>
  </si>
  <si>
    <t>Boston</t>
  </si>
  <si>
    <t>Brockton</t>
  </si>
  <si>
    <t>Fitchburg-Leominster</t>
  </si>
  <si>
    <t>Lawrence-Haverhill</t>
  </si>
  <si>
    <t>Lowell</t>
  </si>
  <si>
    <t>New Bedford</t>
  </si>
  <si>
    <t>Pittsfield</t>
  </si>
  <si>
    <t>Providence-Fall River</t>
  </si>
  <si>
    <t>Springfield</t>
  </si>
  <si>
    <t>Title:</t>
  </si>
  <si>
    <t>Boston-Cambridge-Quincy, MA-NH</t>
  </si>
  <si>
    <t>Easton-Raynham, MA</t>
  </si>
  <si>
    <t>Taunton-Mansfield-Norton, MA</t>
  </si>
  <si>
    <t>Eastern Worcester County, MA</t>
  </si>
  <si>
    <t>Western Worcester County, MA</t>
  </si>
  <si>
    <t>Providence-Fall River, RI-MA</t>
  </si>
  <si>
    <t>Please indicate whether the following Exhibits are included with this application.</t>
  </si>
  <si>
    <t>Worcester</t>
  </si>
  <si>
    <t>Barnstable County</t>
  </si>
  <si>
    <t>Berkshire County</t>
  </si>
  <si>
    <t>Dukes County</t>
  </si>
  <si>
    <t>Franklin County</t>
  </si>
  <si>
    <t>Hampden County</t>
  </si>
  <si>
    <t>Hampshire County</t>
  </si>
  <si>
    <t>Nantucket County</t>
  </si>
  <si>
    <t>Worcester County</t>
  </si>
  <si>
    <t>Rent Schedule:</t>
  </si>
  <si>
    <t>Contract</t>
  </si>
  <si>
    <t>Utility</t>
  </si>
  <si>
    <t>No. of</t>
  </si>
  <si>
    <t>NONMETRO TABLE FOR FAIR MARKET RATES</t>
  </si>
  <si>
    <t>Original</t>
  </si>
  <si>
    <t>Revised</t>
  </si>
  <si>
    <t>b. Commercial</t>
  </si>
  <si>
    <t>a. Residential</t>
  </si>
  <si>
    <t>a. Single-Family</t>
  </si>
  <si>
    <t>b. 2-4 Family</t>
  </si>
  <si>
    <t>Yes</t>
  </si>
  <si>
    <t>Boston: DND……………………………………..</t>
  </si>
  <si>
    <t>MHIC Construction Loan……………………….</t>
  </si>
  <si>
    <t>c. Townhouse</t>
  </si>
  <si>
    <t>d.  Low/Mid rise</t>
  </si>
  <si>
    <t>e.  High-rise</t>
  </si>
  <si>
    <t>f.   Other</t>
  </si>
  <si>
    <t>`</t>
  </si>
  <si>
    <t xml:space="preserve">Are there any above ground storage containers with flammable or </t>
  </si>
  <si>
    <t>Is the site subject to noise impact from jet airports within five miles, major</t>
  </si>
  <si>
    <t>Low-Income (Rental Assisted):</t>
  </si>
  <si>
    <t>Rent</t>
  </si>
  <si>
    <t>Allowance</t>
  </si>
  <si>
    <t>SRO</t>
  </si>
  <si>
    <t xml:space="preserve"> = Effective Date</t>
  </si>
  <si>
    <t>Low-Income (below 50%):</t>
  </si>
  <si>
    <t>Low-Income (below 60%):</t>
  </si>
  <si>
    <t>Market Rate (unrestricted occupancy):</t>
  </si>
  <si>
    <t>Commercial Income:</t>
  </si>
  <si>
    <t>(average)</t>
  </si>
  <si>
    <t>Square Feet:</t>
  </si>
  <si>
    <t xml:space="preserve">@   </t>
  </si>
  <si>
    <t xml:space="preserve"> /square foot  =</t>
  </si>
  <si>
    <t>Parking Income:</t>
  </si>
  <si>
    <t>Spaces:</t>
  </si>
  <si>
    <t xml:space="preserve"> /month x 12  =</t>
  </si>
  <si>
    <t>Section 4.  Operating Pro-Forma</t>
  </si>
  <si>
    <t>Page 15</t>
  </si>
  <si>
    <t>Other Operating Income Assumptions:</t>
  </si>
  <si>
    <t>NORFOLK</t>
  </si>
  <si>
    <t xml:space="preserve">Developer/Sponsor Type </t>
  </si>
  <si>
    <t>40% Of Units</t>
  </si>
  <si>
    <t>Vacancy Allowance:</t>
  </si>
  <si>
    <t>Low-Income (Rental Assistance)</t>
  </si>
  <si>
    <t>Low-Income (below 50%)</t>
  </si>
  <si>
    <t>Low-Income (below 60%)</t>
  </si>
  <si>
    <t>Market Rate</t>
  </si>
  <si>
    <t>Laundry Income (annual):</t>
  </si>
  <si>
    <t>Trending Assumptions for Rents:</t>
  </si>
  <si>
    <t>Year 2</t>
  </si>
  <si>
    <t>Year 3</t>
  </si>
  <si>
    <t>Years 4-5</t>
  </si>
  <si>
    <t>Years 6-20</t>
  </si>
  <si>
    <t>Commercial Space Rental</t>
  </si>
  <si>
    <t>Operating Subsidy and Capitalized Operating Reserves:</t>
  </si>
  <si>
    <t>Subsidy Source I ...............................</t>
  </si>
  <si>
    <t>Subsidy Source II .............................</t>
  </si>
  <si>
    <t xml:space="preserve">Source: </t>
  </si>
  <si>
    <t>Yearly Draws on Subsidies and Reserves:</t>
  </si>
  <si>
    <t>Subsidy</t>
  </si>
  <si>
    <t>Draw on</t>
  </si>
  <si>
    <t>Source I</t>
  </si>
  <si>
    <t>Source II</t>
  </si>
  <si>
    <t>Oper. Reserve</t>
  </si>
  <si>
    <t>Year 1</t>
  </si>
  <si>
    <t>Year 4</t>
  </si>
  <si>
    <t>Other(please specify here)</t>
  </si>
  <si>
    <t>R-Value or type?</t>
  </si>
  <si>
    <t>number of units</t>
  </si>
  <si>
    <t>num. of bedrooms</t>
  </si>
  <si>
    <t>a. Sanitary sewer?</t>
  </si>
  <si>
    <t>YOU HAVE APPLIED FOR THE FOLLOWING FUNDING</t>
  </si>
  <si>
    <t>COMPREHENSIVE LIST OF EXHIBTS</t>
  </si>
  <si>
    <t>Detailed site map</t>
  </si>
  <si>
    <t>Photographs of the site</t>
  </si>
  <si>
    <t xml:space="preserve">Directions to the site </t>
  </si>
  <si>
    <t xml:space="preserve">Site location map </t>
  </si>
  <si>
    <t xml:space="preserve">Chapter 21E Assessment </t>
  </si>
  <si>
    <t>Environmental Notification Form</t>
  </si>
  <si>
    <t>Lead paint inspection</t>
  </si>
  <si>
    <t>Lead paint abatement plan</t>
  </si>
  <si>
    <t>Asbestos inspection report</t>
  </si>
  <si>
    <t xml:space="preserve">Asbestos abatement plan </t>
  </si>
  <si>
    <t>Letter from local or Mass. Historical Commission</t>
  </si>
  <si>
    <t>Map of wetlands or floodplain areas</t>
  </si>
  <si>
    <t>Other environmental information</t>
  </si>
  <si>
    <t xml:space="preserve">     and/or Dept. of Environmental Protection</t>
  </si>
  <si>
    <t>Exhibit 3.  Evidence of Zoning</t>
  </si>
  <si>
    <t xml:space="preserve">Exhibit 5.  Evidence of Local Support </t>
  </si>
  <si>
    <t xml:space="preserve">Exhibit 4.  Evidence of Site Control </t>
  </si>
  <si>
    <t>Exhibit 6.  Market Information and Acquisition Value</t>
  </si>
  <si>
    <t>Exhibit 7.  Marketing Plan</t>
  </si>
  <si>
    <t>Exhibit 8.  Affirmative Fair Marketing Plan</t>
  </si>
  <si>
    <t>Exhibit 9.  Equal Opportunity Questionnaire</t>
  </si>
  <si>
    <t>Exhibit 10.  Sales Prices and Affordability</t>
  </si>
  <si>
    <t>Exhibit 11.  Construction Period Sources and Uses</t>
  </si>
  <si>
    <t>Exhibit 12.  Tax-Exempt Project Information</t>
  </si>
  <si>
    <t>Exhibit 13.  Relocation Plan</t>
  </si>
  <si>
    <t xml:space="preserve">Exhibit 14.  Special Needs Service Plan </t>
  </si>
  <si>
    <t>Exhibit 15.  Required Tax Credit Certifications</t>
  </si>
  <si>
    <t>Exhibit 16.  Preliminary Plans and Specifications</t>
  </si>
  <si>
    <t>Exhibit 16A.  Accessiblity Information</t>
  </si>
  <si>
    <t>Exhibit 17.  Commitment Drawings and Specifications</t>
  </si>
  <si>
    <t>Total Debt</t>
  </si>
  <si>
    <t>Exhibit 18.  Soil and/or Structural Report</t>
  </si>
  <si>
    <t xml:space="preserve">Exhibit 19.  Energy Budget </t>
  </si>
  <si>
    <t>Exhibit 20.  Construction Financing</t>
  </si>
  <si>
    <t xml:space="preserve">Exhibit 21.  Permanent Financing </t>
  </si>
  <si>
    <t>INCOME LAST YEAR from Schedule 18</t>
  </si>
  <si>
    <t xml:space="preserve">Exhibit 22.  Equity Financing Commitment </t>
  </si>
  <si>
    <t>METRO TABLE FOR FAIR MARKET RATE</t>
  </si>
  <si>
    <t>0004.01</t>
  </si>
  <si>
    <t>0006.02</t>
  </si>
  <si>
    <t>0008.02</t>
  </si>
  <si>
    <t>0103.00</t>
  </si>
  <si>
    <t>0105.00</t>
  </si>
  <si>
    <t>0402.00</t>
  </si>
  <si>
    <t>0503.00</t>
  </si>
  <si>
    <t>0505.00</t>
  </si>
  <si>
    <t>0510.00</t>
  </si>
  <si>
    <t>0607.00</t>
  </si>
  <si>
    <t>0610.00</t>
  </si>
  <si>
    <t>0702.00</t>
  </si>
  <si>
    <t>0709.00</t>
  </si>
  <si>
    <t>0801.00</t>
  </si>
  <si>
    <t>0803.00</t>
  </si>
  <si>
    <t>0805.00</t>
  </si>
  <si>
    <t>0809.00</t>
  </si>
  <si>
    <t>0811.00</t>
  </si>
  <si>
    <t>0812.00</t>
  </si>
  <si>
    <t>0813.00</t>
  </si>
  <si>
    <t>0815.00</t>
  </si>
  <si>
    <t>0817.00</t>
  </si>
  <si>
    <t>0818.00</t>
  </si>
  <si>
    <t>0820.00</t>
  </si>
  <si>
    <t>0821.00</t>
  </si>
  <si>
    <t>0901.00</t>
  </si>
  <si>
    <t>0902.00</t>
  </si>
  <si>
    <t>0903.00</t>
  </si>
  <si>
    <t>0904.00</t>
  </si>
  <si>
    <t>0906.00</t>
  </si>
  <si>
    <t>0913.00</t>
  </si>
  <si>
    <t>0914.00</t>
  </si>
  <si>
    <t>0915.00</t>
  </si>
  <si>
    <t>0916.00</t>
  </si>
  <si>
    <t>0917.00</t>
  </si>
  <si>
    <t>0918.00</t>
  </si>
  <si>
    <t>0919.00</t>
  </si>
  <si>
    <t>0923.00</t>
  </si>
  <si>
    <t>0924.00</t>
  </si>
  <si>
    <t>1001.00</t>
  </si>
  <si>
    <t>1002.00</t>
  </si>
  <si>
    <t>1003.00</t>
  </si>
  <si>
    <t>1005.00</t>
  </si>
  <si>
    <t>1011.02</t>
  </si>
  <si>
    <t>1602.00</t>
  </si>
  <si>
    <t>1604.00</t>
  </si>
  <si>
    <t>CONSOLIDATED TABLE FOR 2014 INCOME LIMITS</t>
  </si>
  <si>
    <t>FINAL 2015 Data</t>
  </si>
  <si>
    <t xml:space="preserve">2015 QUALIFIED CENSUS TRACTS </t>
  </si>
  <si>
    <t>0005.02</t>
  </si>
  <si>
    <t>0005.04</t>
  </si>
  <si>
    <t>0007.03</t>
  </si>
  <si>
    <t>0007.04</t>
  </si>
  <si>
    <t>0008.03</t>
  </si>
  <si>
    <t>0101.03</t>
  </si>
  <si>
    <t>0101.04</t>
  </si>
  <si>
    <t>0102.03</t>
  </si>
  <si>
    <t>0102.04</t>
  </si>
  <si>
    <t>0104.03</t>
  </si>
  <si>
    <t>0104.04</t>
  </si>
  <si>
    <t>0104.05</t>
  </si>
  <si>
    <t>0104.08</t>
  </si>
  <si>
    <t>0408.01</t>
  </si>
  <si>
    <t>0501.01</t>
  </si>
  <si>
    <t>0611.01</t>
  </si>
  <si>
    <t>0701.01</t>
  </si>
  <si>
    <t>0704.02</t>
  </si>
  <si>
    <t>0711.01</t>
  </si>
  <si>
    <t>0712.01</t>
  </si>
  <si>
    <t>0804.01</t>
  </si>
  <si>
    <t>0806.01</t>
  </si>
  <si>
    <t>0808.01</t>
  </si>
  <si>
    <t>0810.01</t>
  </si>
  <si>
    <t>0819.00</t>
  </si>
  <si>
    <t>0907.00</t>
  </si>
  <si>
    <t>0909.01</t>
  </si>
  <si>
    <t>0920.00</t>
  </si>
  <si>
    <t>0921.01</t>
  </si>
  <si>
    <t>Information downloaded on 1/2/2015</t>
  </si>
  <si>
    <t>0922.00</t>
  </si>
  <si>
    <t>1010.02</t>
  </si>
  <si>
    <t>1101.03</t>
  </si>
  <si>
    <t>1205.00</t>
  </si>
  <si>
    <t>1304.06</t>
  </si>
  <si>
    <t>1401.06</t>
  </si>
  <si>
    <t>1601.01</t>
  </si>
  <si>
    <t>1605.01</t>
  </si>
  <si>
    <t>1605.02</t>
  </si>
  <si>
    <t>1606.02</t>
  </si>
  <si>
    <t>1704.00</t>
  </si>
  <si>
    <t>1705.01</t>
  </si>
  <si>
    <t>1706.01</t>
  </si>
  <si>
    <t>1707.01</t>
  </si>
  <si>
    <t>1707.02</t>
  </si>
  <si>
    <t>9801.01</t>
  </si>
  <si>
    <t>9803.00</t>
  </si>
  <si>
    <t>9811.00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</si>
</sst>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mm/dd/yy_)"/>
    <numFmt numFmtId="166" formatCode="0_)"/>
    <numFmt numFmtId="167" formatCode="0.0%"/>
    <numFmt numFmtId="168" formatCode="0.0_)"/>
    <numFmt numFmtId="169" formatCode="0.00_)"/>
    <numFmt numFmtId="170" formatCode="mm/dd/yy"/>
    <numFmt numFmtId="171" formatCode="m/d"/>
    <numFmt numFmtId="172" formatCode="00000"/>
    <numFmt numFmtId="173" formatCode="_(&quot;$&quot;* #,##0_);_(&quot;$&quot;* \(#,##0\);_(&quot;$&quot;* &quot;-&quot;??_);_(@_)"/>
    <numFmt numFmtId="174" formatCode="_(* #,##0_);_(* \(#,##0\);_(* &quot;-&quot;??_);_(@_)"/>
    <numFmt numFmtId="175" formatCode="&quot;$&quot;#,##0"/>
    <numFmt numFmtId="176" formatCode="0.0"/>
    <numFmt numFmtId="177" formatCode="&quot;$&quot;#,##0.00;[Red]&quot;$&quot;#,##0.00"/>
    <numFmt numFmtId="178" formatCode="0;[Red]0"/>
    <numFmt numFmtId="179" formatCode="&quot;$&quot;#,##0.000000000000000_);\(&quot;$&quot;#,##0.000000000000000\)"/>
    <numFmt numFmtId="180" formatCode="0000.00"/>
    <numFmt numFmtId="181" formatCode="&quot;$&quot;#,##0.00"/>
    <numFmt numFmtId="182" formatCode="0.000%"/>
    <numFmt numFmtId="183" formatCode="[&lt;=9999999]###\-####;\(###\)\ ###\-####"/>
    <numFmt numFmtId="184" formatCode="000\-00\-0000"/>
    <numFmt numFmtId="185" formatCode="mm/dd/yy;@"/>
  </numFmts>
  <fonts count="160">
    <font>
      <sz val="8"/>
      <color indexed="8"/>
      <name val="Arial MT"/>
    </font>
    <font>
      <sz val="20"/>
      <color indexed="8"/>
      <name val="Arial MT"/>
    </font>
    <font>
      <sz val="10"/>
      <color indexed="8"/>
      <name val="TimesNewRomanPS"/>
    </font>
    <font>
      <sz val="12"/>
      <color indexed="8"/>
      <name val="TimesNewRomanPS"/>
    </font>
    <font>
      <b/>
      <sz val="8"/>
      <color indexed="8"/>
      <name val="Arial MT"/>
    </font>
    <font>
      <b/>
      <sz val="20"/>
      <color indexed="8"/>
      <name val="Arial MT"/>
    </font>
    <font>
      <b/>
      <sz val="12"/>
      <color indexed="8"/>
      <name val="Arial MT"/>
    </font>
    <font>
      <b/>
      <sz val="12"/>
      <color indexed="8"/>
      <name val="TimesNewRomanPS"/>
    </font>
    <font>
      <i/>
      <sz val="10"/>
      <color indexed="8"/>
      <name val="TimesNewRomanPS"/>
    </font>
    <font>
      <i/>
      <sz val="12"/>
      <color indexed="8"/>
      <name val="TimesNewRomanPS"/>
    </font>
    <font>
      <sz val="8"/>
      <color indexed="8"/>
      <name val="Times New Roman"/>
      <family val="1"/>
    </font>
    <font>
      <sz val="10"/>
      <color indexed="8"/>
      <name val="Times New Roman"/>
      <family val="1"/>
    </font>
    <font>
      <b/>
      <sz val="12"/>
      <color indexed="8"/>
      <name val="Arial"/>
      <family val="2"/>
    </font>
    <font>
      <i/>
      <sz val="10"/>
      <color indexed="8"/>
      <name val="Times New Roman"/>
      <family val="1"/>
    </font>
    <font>
      <sz val="12"/>
      <color indexed="8"/>
      <name val="Arial MT"/>
    </font>
    <font>
      <sz val="8"/>
      <color indexed="8"/>
      <name val="Arial"/>
      <family val="2"/>
    </font>
    <font>
      <sz val="12"/>
      <color indexed="8"/>
      <name val="Arial"/>
      <family val="2"/>
    </font>
    <font>
      <sz val="12"/>
      <color indexed="8"/>
      <name val="Times New Roman"/>
      <family val="1"/>
    </font>
    <font>
      <i/>
      <sz val="12"/>
      <color indexed="8"/>
      <name val="Times New Roman"/>
      <family val="1"/>
    </font>
    <font>
      <b/>
      <sz val="12"/>
      <color indexed="8"/>
      <name val="Times New Roman"/>
      <family val="1"/>
    </font>
    <font>
      <sz val="20"/>
      <color indexed="8"/>
      <name val="Arial"/>
      <family val="2"/>
    </font>
    <font>
      <b/>
      <sz val="20"/>
      <color indexed="8"/>
      <name val="Arial"/>
      <family val="2"/>
    </font>
    <font>
      <b/>
      <sz val="14"/>
      <color indexed="8"/>
      <name val="Arial"/>
      <family val="2"/>
    </font>
    <font>
      <sz val="8"/>
      <color indexed="8"/>
      <name val="Arial"/>
      <family val="2"/>
    </font>
    <font>
      <b/>
      <sz val="8"/>
      <color indexed="8"/>
      <name val="Arial"/>
      <family val="2"/>
    </font>
    <font>
      <sz val="10"/>
      <color indexed="8"/>
      <name val="Arial"/>
      <family val="2"/>
    </font>
    <font>
      <sz val="18"/>
      <color indexed="8"/>
      <name val="Arial MT"/>
    </font>
    <font>
      <i/>
      <sz val="10"/>
      <color indexed="8"/>
      <name val="Times New Roman"/>
      <family val="1"/>
    </font>
    <font>
      <sz val="8"/>
      <color indexed="8"/>
      <name val="Times New Roman"/>
      <family val="1"/>
    </font>
    <font>
      <b/>
      <sz val="10"/>
      <color indexed="8"/>
      <name val="Times New Roman"/>
      <family val="1"/>
    </font>
    <font>
      <sz val="12"/>
      <color indexed="8"/>
      <name val="Times New Roman"/>
      <family val="1"/>
    </font>
    <font>
      <sz val="10"/>
      <color indexed="8"/>
      <name val="Times New Roman"/>
      <family val="1"/>
    </font>
    <font>
      <b/>
      <sz val="14"/>
      <color indexed="8"/>
      <name val="Times New Roman"/>
      <family val="1"/>
    </font>
    <font>
      <i/>
      <sz val="8"/>
      <color indexed="8"/>
      <name val="Times New Roman"/>
      <family val="1"/>
    </font>
    <font>
      <b/>
      <sz val="8"/>
      <color indexed="8"/>
      <name val="Times New Roman"/>
      <family val="1"/>
    </font>
    <font>
      <b/>
      <i/>
      <sz val="10"/>
      <color indexed="8"/>
      <name val="Times New Roman"/>
      <family val="1"/>
    </font>
    <font>
      <u/>
      <sz val="10"/>
      <color indexed="8"/>
      <name val="Times New Roman"/>
      <family val="1"/>
    </font>
    <font>
      <u/>
      <sz val="8"/>
      <color indexed="8"/>
      <name val="Times New Roman"/>
      <family val="1"/>
    </font>
    <font>
      <u/>
      <sz val="8"/>
      <color indexed="8"/>
      <name val="Arial"/>
      <family val="2"/>
    </font>
    <font>
      <sz val="8"/>
      <color indexed="8"/>
      <name val="Arial MT"/>
    </font>
    <font>
      <sz val="10"/>
      <color indexed="8"/>
      <name val="Arial MT"/>
    </font>
    <font>
      <sz val="11"/>
      <color indexed="8"/>
      <name val="Times New Roman"/>
      <family val="1"/>
    </font>
    <font>
      <sz val="11"/>
      <color indexed="8"/>
      <name val="Arial MT"/>
    </font>
    <font>
      <sz val="9"/>
      <color indexed="8"/>
      <name val="Times New Roman"/>
      <family val="1"/>
    </font>
    <font>
      <i/>
      <sz val="9"/>
      <color indexed="8"/>
      <name val="Times New Roman"/>
      <family val="1"/>
    </font>
    <font>
      <sz val="9"/>
      <color indexed="8"/>
      <name val="Arial MT"/>
    </font>
    <font>
      <sz val="9"/>
      <color indexed="13"/>
      <name val="Times New Roman"/>
      <family val="1"/>
    </font>
    <font>
      <i/>
      <sz val="11"/>
      <color indexed="8"/>
      <name val="Times New Roman"/>
      <family val="1"/>
    </font>
    <font>
      <i/>
      <sz val="9"/>
      <color indexed="8"/>
      <name val="Times New Roman"/>
      <family val="1"/>
    </font>
    <font>
      <sz val="10"/>
      <color indexed="8"/>
      <name val="Times New Roman"/>
      <family val="1"/>
    </font>
    <font>
      <u/>
      <sz val="12"/>
      <color indexed="8"/>
      <name val="Arial MT"/>
    </font>
    <font>
      <b/>
      <sz val="11"/>
      <color indexed="8"/>
      <name val="Times New Roman"/>
      <family val="1"/>
    </font>
    <font>
      <i/>
      <sz val="10"/>
      <color indexed="8"/>
      <name val="Times New Roman"/>
      <family val="1"/>
    </font>
    <font>
      <b/>
      <sz val="10"/>
      <color indexed="8"/>
      <name val="Arial"/>
      <family val="2"/>
    </font>
    <font>
      <b/>
      <sz val="9"/>
      <color indexed="8"/>
      <name val="Times New Roman"/>
      <family val="1"/>
    </font>
    <font>
      <sz val="8"/>
      <color indexed="8"/>
      <name val="Times New Roman"/>
      <family val="1"/>
    </font>
    <font>
      <sz val="9"/>
      <color indexed="8"/>
      <name val="Times New Roman"/>
      <family val="1"/>
    </font>
    <font>
      <sz val="11"/>
      <color indexed="8"/>
      <name val="Times New Roman"/>
      <family val="1"/>
    </font>
    <font>
      <sz val="20"/>
      <color indexed="8"/>
      <name val="TimesNewRomanPS"/>
    </font>
    <font>
      <i/>
      <sz val="8"/>
      <color indexed="8"/>
      <name val="TimesNewRomanPS"/>
    </font>
    <font>
      <sz val="8"/>
      <color indexed="8"/>
      <name val="Arial MT"/>
    </font>
    <font>
      <sz val="8"/>
      <color indexed="8"/>
      <name val="Arial MT"/>
    </font>
    <font>
      <sz val="11"/>
      <color indexed="8"/>
      <name val="TimesNewRomanPS"/>
    </font>
    <font>
      <sz val="9"/>
      <color indexed="8"/>
      <name val="TimesNewRomanPS"/>
    </font>
    <font>
      <sz val="8"/>
      <color indexed="8"/>
      <name val="TimesNewRomanPS"/>
    </font>
    <font>
      <sz val="8"/>
      <color indexed="8"/>
      <name val="Arial MT"/>
    </font>
    <font>
      <sz val="10"/>
      <color indexed="8"/>
      <name val="Arial MT"/>
    </font>
    <font>
      <b/>
      <sz val="11"/>
      <color indexed="8"/>
      <name val="Times New Roman"/>
      <family val="1"/>
    </font>
    <font>
      <sz val="20"/>
      <color indexed="8"/>
      <name val="Arial"/>
      <family val="2"/>
    </font>
    <font>
      <b/>
      <sz val="20"/>
      <color indexed="8"/>
      <name val="Arial"/>
      <family val="2"/>
    </font>
    <font>
      <sz val="13"/>
      <color indexed="8"/>
      <name val="Arial"/>
      <family val="2"/>
    </font>
    <font>
      <sz val="13"/>
      <color indexed="8"/>
      <name val="Arial MT"/>
    </font>
    <font>
      <sz val="9.5"/>
      <color indexed="8"/>
      <name val="Times New Roman"/>
      <family val="1"/>
    </font>
    <font>
      <sz val="8"/>
      <color indexed="81"/>
      <name val="Tahoma"/>
      <family val="2"/>
    </font>
    <font>
      <b/>
      <sz val="8"/>
      <color indexed="81"/>
      <name val="Tahoma"/>
      <family val="2"/>
    </font>
    <font>
      <b/>
      <sz val="8"/>
      <color indexed="8"/>
      <name val="Times New Roman"/>
      <family val="1"/>
    </font>
    <font>
      <b/>
      <sz val="14"/>
      <color indexed="8"/>
      <name val="Times New Roman"/>
      <family val="1"/>
    </font>
    <font>
      <i/>
      <sz val="11"/>
      <color indexed="8"/>
      <name val="Times New Roman"/>
      <family val="1"/>
    </font>
    <font>
      <i/>
      <sz val="10"/>
      <color indexed="8"/>
      <name val="TimesNewRomanPS"/>
    </font>
    <font>
      <i/>
      <sz val="8"/>
      <color indexed="8"/>
      <name val="Times New Roman"/>
      <family val="1"/>
    </font>
    <font>
      <b/>
      <sz val="18"/>
      <color indexed="8"/>
      <name val="Arial"/>
      <family val="2"/>
    </font>
    <font>
      <i/>
      <sz val="11"/>
      <color indexed="8"/>
      <name val="Arial MT"/>
    </font>
    <font>
      <u/>
      <sz val="8"/>
      <color indexed="12"/>
      <name val="Arial MT"/>
    </font>
    <font>
      <b/>
      <sz val="12"/>
      <color indexed="8"/>
      <name val="Times New Roman"/>
      <family val="1"/>
    </font>
    <font>
      <b/>
      <sz val="10"/>
      <color indexed="8"/>
      <name val="Times New Roman"/>
      <family val="1"/>
    </font>
    <font>
      <sz val="12"/>
      <color indexed="10"/>
      <name val="Times New Roman"/>
      <family val="1"/>
    </font>
    <font>
      <b/>
      <sz val="11"/>
      <color indexed="10"/>
      <name val="Times New Roman"/>
      <family val="1"/>
    </font>
    <font>
      <b/>
      <i/>
      <sz val="10"/>
      <color indexed="10"/>
      <name val="Times New Roman"/>
      <family val="1"/>
    </font>
    <font>
      <sz val="12"/>
      <color indexed="8"/>
      <name val="Times New Roman"/>
      <family val="1"/>
    </font>
    <font>
      <b/>
      <i/>
      <sz val="11"/>
      <color indexed="10"/>
      <name val="Times New Roman"/>
      <family val="1"/>
    </font>
    <font>
      <sz val="10"/>
      <name val="Times New Roman"/>
      <family val="1"/>
    </font>
    <font>
      <i/>
      <u/>
      <sz val="8"/>
      <color indexed="12"/>
      <name val="Arial MT"/>
    </font>
    <font>
      <sz val="8"/>
      <color indexed="14"/>
      <name val="Arial MT"/>
    </font>
    <font>
      <sz val="10"/>
      <name val="Arial MT"/>
    </font>
    <font>
      <b/>
      <sz val="12"/>
      <color indexed="10"/>
      <name val="TimesNewRomanPS"/>
    </font>
    <font>
      <sz val="8"/>
      <color indexed="10"/>
      <name val="Arial MT"/>
    </font>
    <font>
      <i/>
      <sz val="10"/>
      <color indexed="10"/>
      <name val="Times New Roman"/>
      <family val="1"/>
    </font>
    <font>
      <sz val="8"/>
      <color indexed="10"/>
      <name val="Arial MT"/>
    </font>
    <font>
      <i/>
      <sz val="9"/>
      <color indexed="10"/>
      <name val="Times New Roman"/>
      <family val="1"/>
    </font>
    <font>
      <sz val="12"/>
      <name val="SWISS"/>
    </font>
    <font>
      <b/>
      <sz val="12"/>
      <name val="SWISS"/>
    </font>
    <font>
      <sz val="10"/>
      <name val="DUTCH"/>
    </font>
    <font>
      <sz val="12"/>
      <name val="Times New Roman"/>
      <family val="1"/>
    </font>
    <font>
      <u/>
      <sz val="12"/>
      <color indexed="8"/>
      <name val="Times New Roman"/>
      <family val="1"/>
    </font>
    <font>
      <i/>
      <sz val="12"/>
      <color indexed="8"/>
      <name val="Times New Roman"/>
      <family val="1"/>
    </font>
    <font>
      <i/>
      <sz val="12"/>
      <color indexed="10"/>
      <name val="Times New Roman"/>
      <family val="1"/>
    </font>
    <font>
      <i/>
      <sz val="10"/>
      <color indexed="10"/>
      <name val="Times New Roman"/>
      <family val="1"/>
    </font>
    <font>
      <i/>
      <sz val="9"/>
      <color indexed="8"/>
      <name val="Arial MT"/>
    </font>
    <font>
      <sz val="12"/>
      <color indexed="9"/>
      <name val="Times New Roman"/>
      <family val="1"/>
    </font>
    <font>
      <b/>
      <i/>
      <u/>
      <sz val="8"/>
      <color indexed="81"/>
      <name val="Tahoma"/>
      <family val="2"/>
    </font>
    <font>
      <sz val="10"/>
      <name val="Arial"/>
      <family val="2"/>
    </font>
    <font>
      <b/>
      <sz val="8"/>
      <color indexed="10"/>
      <name val="Arial MT"/>
    </font>
    <font>
      <b/>
      <sz val="10"/>
      <color indexed="9"/>
      <name val="Arial MT"/>
    </font>
    <font>
      <b/>
      <sz val="10"/>
      <color indexed="10"/>
      <name val="Times New Roman"/>
      <family val="1"/>
    </font>
    <font>
      <b/>
      <sz val="8"/>
      <color indexed="10"/>
      <name val="Arial MT"/>
    </font>
    <font>
      <b/>
      <sz val="9"/>
      <color indexed="10"/>
      <name val="Times New Roman"/>
      <family val="1"/>
    </font>
    <font>
      <sz val="11"/>
      <color indexed="9"/>
      <name val="Times New Roman"/>
      <family val="1"/>
    </font>
    <font>
      <sz val="10"/>
      <color indexed="8"/>
      <name val="TimesNewRomanPS"/>
    </font>
    <font>
      <sz val="11"/>
      <color indexed="8"/>
      <name val="TimesNewRomanPS"/>
    </font>
    <font>
      <b/>
      <sz val="9"/>
      <color indexed="9"/>
      <name val="Times New Roman"/>
      <family val="1"/>
    </font>
    <font>
      <b/>
      <sz val="10"/>
      <color indexed="8"/>
      <name val="TimesNewRomanPS"/>
    </font>
    <font>
      <i/>
      <sz val="8"/>
      <color indexed="10"/>
      <name val="Arial MT"/>
    </font>
    <font>
      <i/>
      <sz val="9"/>
      <color indexed="8"/>
      <name val="Arial MT"/>
    </font>
    <font>
      <sz val="8"/>
      <color indexed="9"/>
      <name val="Times New Roman"/>
      <family val="1"/>
    </font>
    <font>
      <sz val="9"/>
      <color indexed="63"/>
      <name val="Arial MT"/>
    </font>
    <font>
      <sz val="10"/>
      <color indexed="9"/>
      <name val="Times New Roman"/>
      <family val="1"/>
    </font>
    <font>
      <sz val="11"/>
      <name val="Arial MT"/>
    </font>
    <font>
      <b/>
      <sz val="12"/>
      <color indexed="12"/>
      <name val="Times New Roman"/>
      <family val="1"/>
    </font>
    <font>
      <b/>
      <sz val="16"/>
      <color indexed="12"/>
      <name val="Times New Roman"/>
      <family val="1"/>
    </font>
    <font>
      <b/>
      <sz val="12"/>
      <color indexed="10"/>
      <name val="Times New Roman"/>
      <family val="1"/>
    </font>
    <font>
      <b/>
      <sz val="20"/>
      <name val="Times New Roman"/>
      <family val="1"/>
    </font>
    <font>
      <b/>
      <i/>
      <sz val="12"/>
      <color indexed="12"/>
      <name val="Times New Roman"/>
      <family val="1"/>
    </font>
    <font>
      <i/>
      <sz val="10"/>
      <color indexed="12"/>
      <name val="Times New Roman"/>
      <family val="1"/>
    </font>
    <font>
      <sz val="10"/>
      <color indexed="12"/>
      <name val="Times New Roman"/>
      <family val="1"/>
    </font>
    <font>
      <sz val="9"/>
      <name val="Times New Roman"/>
      <family val="1"/>
    </font>
    <font>
      <i/>
      <sz val="9"/>
      <color indexed="12"/>
      <name val="Times New Roman"/>
      <family val="1"/>
    </font>
    <font>
      <sz val="9"/>
      <color indexed="12"/>
      <name val="Times New Roman"/>
      <family val="1"/>
    </font>
    <font>
      <i/>
      <sz val="14"/>
      <color indexed="10"/>
      <name val="Times New Roman"/>
      <family val="1"/>
    </font>
    <font>
      <b/>
      <i/>
      <sz val="12"/>
      <color indexed="8"/>
      <name val="Times New Roman"/>
      <family val="1"/>
    </font>
    <font>
      <sz val="11"/>
      <name val="Times New Roman"/>
      <family val="1"/>
    </font>
    <font>
      <sz val="8"/>
      <name val="Arial MT"/>
    </font>
    <font>
      <b/>
      <sz val="12"/>
      <name val="Times New Roman"/>
      <family val="1"/>
    </font>
    <font>
      <b/>
      <sz val="10"/>
      <name val="Times New Roman"/>
      <family val="1"/>
    </font>
    <font>
      <b/>
      <u/>
      <sz val="20"/>
      <name val="Times New Roman"/>
      <family val="1"/>
    </font>
    <font>
      <i/>
      <sz val="11"/>
      <name val="Times New Roman"/>
      <family val="1"/>
    </font>
    <font>
      <i/>
      <sz val="9"/>
      <name val="Times New Roman"/>
      <family val="1"/>
    </font>
    <font>
      <i/>
      <sz val="10"/>
      <name val="Times New Roman"/>
      <family val="1"/>
    </font>
    <font>
      <b/>
      <i/>
      <sz val="12"/>
      <name val="Times New Roman"/>
      <family val="1"/>
    </font>
    <font>
      <u/>
      <sz val="11"/>
      <name val="Times New Roman"/>
      <family val="1"/>
    </font>
    <font>
      <b/>
      <i/>
      <sz val="9"/>
      <color indexed="10"/>
      <name val="Times New Roman"/>
      <family val="1"/>
    </font>
    <font>
      <b/>
      <i/>
      <sz val="9"/>
      <name val="Times New Roman"/>
      <family val="1"/>
    </font>
    <font>
      <b/>
      <sz val="9"/>
      <color indexed="56"/>
      <name val="Times New Roman"/>
      <family val="1"/>
    </font>
    <font>
      <b/>
      <sz val="15"/>
      <color indexed="10"/>
      <name val="Times New Roman"/>
      <family val="1"/>
    </font>
    <font>
      <b/>
      <i/>
      <sz val="10"/>
      <color indexed="62"/>
      <name val="Times New Roman"/>
      <family val="1"/>
    </font>
    <font>
      <b/>
      <i/>
      <sz val="10"/>
      <name val="Times New Roman"/>
      <family val="1"/>
    </font>
    <font>
      <b/>
      <sz val="15"/>
      <name val="Arial"/>
      <family val="2"/>
    </font>
    <font>
      <sz val="8"/>
      <name val="Times New Roman"/>
      <family val="1"/>
    </font>
    <font>
      <b/>
      <sz val="12"/>
      <color indexed="10"/>
      <name val="Arial"/>
      <family val="2"/>
    </font>
    <font>
      <b/>
      <i/>
      <sz val="10"/>
      <name val="Arial"/>
      <family val="2"/>
    </font>
    <font>
      <b/>
      <sz val="12"/>
      <name val="Arial"/>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13"/>
        <bgColor indexed="9"/>
      </patternFill>
    </fill>
    <fill>
      <patternFill patternType="solid">
        <fgColor indexed="10"/>
        <bgColor indexed="64"/>
      </patternFill>
    </fill>
    <fill>
      <patternFill patternType="solid">
        <fgColor indexed="9"/>
        <bgColor indexed="9"/>
      </patternFill>
    </fill>
    <fill>
      <patternFill patternType="gray125">
        <fgColor indexed="9"/>
        <bgColor indexed="9"/>
      </patternFill>
    </fill>
    <fill>
      <patternFill patternType="gray125">
        <fgColor indexed="9"/>
        <bgColor indexed="42"/>
      </patternFill>
    </fill>
    <fill>
      <patternFill patternType="solid">
        <fgColor indexed="13"/>
        <bgColor indexed="64"/>
      </patternFill>
    </fill>
    <fill>
      <patternFill patternType="solid">
        <fgColor indexed="47"/>
        <bgColor indexed="64"/>
      </patternFill>
    </fill>
    <fill>
      <patternFill patternType="solid">
        <fgColor indexed="27"/>
        <bgColor indexed="64"/>
      </patternFill>
    </fill>
    <fill>
      <patternFill patternType="solid">
        <fgColor indexed="8"/>
        <bgColor indexed="64"/>
      </patternFill>
    </fill>
  </fills>
  <borders count="1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8"/>
      </left>
      <right/>
      <top style="medium">
        <color indexed="8"/>
      </top>
      <bottom style="double">
        <color indexed="8"/>
      </bottom>
      <diagonal/>
    </border>
    <border>
      <left/>
      <right/>
      <top style="medium">
        <color indexed="8"/>
      </top>
      <bottom style="double">
        <color indexed="8"/>
      </bottom>
      <diagonal/>
    </border>
    <border>
      <left/>
      <right style="medium">
        <color indexed="8"/>
      </right>
      <top style="medium">
        <color indexed="8"/>
      </top>
      <bottom style="double">
        <color indexed="8"/>
      </bottom>
      <diagonal/>
    </border>
    <border>
      <left style="medium">
        <color indexed="8"/>
      </left>
      <right/>
      <top/>
      <bottom/>
      <diagonal/>
    </border>
    <border>
      <left/>
      <right/>
      <top/>
      <bottom style="thin">
        <color indexed="8"/>
      </bottom>
      <diagonal/>
    </border>
    <border>
      <left/>
      <right style="medium">
        <color indexed="8"/>
      </right>
      <top/>
      <bottom/>
      <diagonal/>
    </border>
    <border>
      <left style="medium">
        <color indexed="64"/>
      </left>
      <right/>
      <top/>
      <bottom/>
      <diagonal/>
    </border>
    <border>
      <left style="medium">
        <color indexed="64"/>
      </left>
      <right/>
      <top style="double">
        <color indexed="8"/>
      </top>
      <bottom style="double">
        <color indexed="8"/>
      </bottom>
      <diagonal/>
    </border>
    <border>
      <left/>
      <right/>
      <top style="double">
        <color indexed="8"/>
      </top>
      <bottom style="double">
        <color indexed="8"/>
      </bottom>
      <diagonal/>
    </border>
    <border>
      <left/>
      <right style="medium">
        <color indexed="8"/>
      </right>
      <top style="double">
        <color indexed="8"/>
      </top>
      <bottom style="double">
        <color indexed="8"/>
      </bottom>
      <diagonal/>
    </border>
    <border>
      <left/>
      <right/>
      <top/>
      <bottom style="hair">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double">
        <color indexed="8"/>
      </right>
      <top style="double">
        <color indexed="8"/>
      </top>
      <bottom style="double">
        <color indexed="8"/>
      </bottom>
      <diagonal/>
    </border>
    <border>
      <left style="thin">
        <color indexed="8"/>
      </left>
      <right/>
      <top/>
      <bottom/>
      <diagonal/>
    </border>
    <border>
      <left/>
      <right/>
      <top/>
      <bottom style="thin">
        <color indexed="64"/>
      </bottom>
      <diagonal/>
    </border>
    <border>
      <left style="medium">
        <color indexed="8"/>
      </left>
      <right/>
      <top/>
      <bottom style="double">
        <color indexed="8"/>
      </bottom>
      <diagonal/>
    </border>
    <border>
      <left/>
      <right/>
      <top/>
      <bottom style="double">
        <color indexed="8"/>
      </bottom>
      <diagonal/>
    </border>
    <border>
      <left/>
      <right style="medium">
        <color indexed="8"/>
      </right>
      <top/>
      <bottom style="double">
        <color indexed="8"/>
      </bottom>
      <diagonal/>
    </border>
    <border>
      <left style="thin">
        <color indexed="8"/>
      </left>
      <right style="thin">
        <color indexed="8"/>
      </right>
      <top style="thin">
        <color indexed="8"/>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bottom style="hair">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medium">
        <color indexed="8"/>
      </left>
      <right/>
      <top style="double">
        <color indexed="8"/>
      </top>
      <bottom style="double">
        <color indexed="8"/>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8"/>
      </right>
      <top style="thin">
        <color indexed="8"/>
      </top>
      <bottom style="thin">
        <color indexed="8"/>
      </bottom>
      <diagonal/>
    </border>
    <border>
      <left/>
      <right style="thin">
        <color indexed="64"/>
      </right>
      <top style="hair">
        <color indexed="64"/>
      </top>
      <bottom style="hair">
        <color indexed="64"/>
      </bottom>
      <diagonal/>
    </border>
    <border>
      <left/>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top style="double">
        <color indexed="8"/>
      </top>
      <bottom/>
      <diagonal/>
    </border>
    <border>
      <left/>
      <right style="medium">
        <color indexed="8"/>
      </right>
      <top style="double">
        <color indexed="8"/>
      </top>
      <bottom/>
      <diagonal/>
    </border>
    <border>
      <left style="double">
        <color indexed="8"/>
      </left>
      <right style="thin">
        <color indexed="8"/>
      </right>
      <top style="double">
        <color indexed="8"/>
      </top>
      <bottom style="thin">
        <color indexed="8"/>
      </bottom>
      <diagonal/>
    </border>
    <border>
      <left style="thin">
        <color indexed="8"/>
      </left>
      <right style="medium">
        <color indexed="8"/>
      </right>
      <top style="double">
        <color indexed="8"/>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right/>
      <top/>
      <bottom style="dotted">
        <color indexed="64"/>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8"/>
      </right>
      <top/>
      <bottom style="thin">
        <color indexed="8"/>
      </bottom>
      <diagonal/>
    </border>
    <border>
      <left style="thin">
        <color indexed="8"/>
      </left>
      <right style="medium">
        <color indexed="8"/>
      </right>
      <top style="thin">
        <color indexed="8"/>
      </top>
      <bottom style="double">
        <color indexed="8"/>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9"/>
      </left>
      <right style="thin">
        <color indexed="9"/>
      </right>
      <top style="thin">
        <color indexed="9"/>
      </top>
      <bottom style="thin">
        <color indexed="9"/>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8"/>
      </bottom>
      <diagonal/>
    </border>
    <border>
      <left/>
      <right style="thin">
        <color indexed="8"/>
      </right>
      <top style="dashed">
        <color indexed="64"/>
      </top>
      <bottom style="dashed">
        <color indexed="64"/>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9"/>
      </left>
      <right/>
      <top/>
      <bottom style="thin">
        <color indexed="64"/>
      </bottom>
      <diagonal/>
    </border>
  </borders>
  <cellStyleXfs count="5">
    <xf numFmtId="0" fontId="0" fillId="0" borderId="0"/>
    <xf numFmtId="43" fontId="39" fillId="0" borderId="0" applyFont="0" applyFill="0" applyBorder="0" applyAlignment="0" applyProtection="0"/>
    <xf numFmtId="44" fontId="39" fillId="0" borderId="0" applyFont="0" applyFill="0" applyBorder="0" applyAlignment="0" applyProtection="0"/>
    <xf numFmtId="0" fontId="82" fillId="0" borderId="0" applyNumberFormat="0" applyFill="0" applyBorder="0" applyAlignment="0" applyProtection="0">
      <alignment vertical="top"/>
      <protection locked="0"/>
    </xf>
    <xf numFmtId="9" fontId="39" fillId="0" borderId="0" applyFont="0" applyFill="0" applyBorder="0" applyAlignment="0" applyProtection="0"/>
  </cellStyleXfs>
  <cellXfs count="1416">
    <xf numFmtId="0" fontId="0" fillId="0" borderId="0" xfId="0"/>
    <xf numFmtId="0" fontId="0" fillId="0" borderId="0" xfId="0" applyAlignment="1">
      <alignment horizontal="center"/>
    </xf>
    <xf numFmtId="0" fontId="11" fillId="2" borderId="1" xfId="0"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166" fontId="11" fillId="2" borderId="1" xfId="0" applyNumberFormat="1" applyFont="1" applyFill="1" applyBorder="1" applyProtection="1">
      <protection locked="0"/>
    </xf>
    <xf numFmtId="0" fontId="31" fillId="2" borderId="1" xfId="0" applyFont="1" applyFill="1" applyBorder="1" applyAlignment="1" applyProtection="1">
      <alignment horizontal="center"/>
      <protection locked="0"/>
    </xf>
    <xf numFmtId="3" fontId="11" fillId="2" borderId="1" xfId="0" applyNumberFormat="1" applyFont="1" applyFill="1" applyBorder="1" applyProtection="1">
      <protection locked="0"/>
    </xf>
    <xf numFmtId="166" fontId="31" fillId="2" borderId="1" xfId="0" applyNumberFormat="1" applyFont="1" applyFill="1" applyBorder="1" applyProtection="1">
      <protection locked="0"/>
    </xf>
    <xf numFmtId="0" fontId="17" fillId="2" borderId="1" xfId="0" applyFont="1" applyFill="1" applyBorder="1" applyAlignment="1" applyProtection="1">
      <alignment horizontal="center"/>
      <protection locked="0"/>
    </xf>
    <xf numFmtId="3" fontId="17" fillId="2" borderId="1" xfId="0" quotePrefix="1" applyNumberFormat="1" applyFont="1" applyFill="1" applyBorder="1" applyProtection="1">
      <protection locked="0"/>
    </xf>
    <xf numFmtId="0" fontId="17" fillId="2" borderId="3" xfId="0" applyFont="1" applyFill="1" applyBorder="1" applyProtection="1">
      <protection locked="0"/>
    </xf>
    <xf numFmtId="0" fontId="17" fillId="2" borderId="4" xfId="0" applyFont="1" applyFill="1" applyBorder="1" applyProtection="1">
      <protection locked="0"/>
    </xf>
    <xf numFmtId="0" fontId="17" fillId="2" borderId="5" xfId="0" applyFont="1" applyFill="1" applyBorder="1" applyProtection="1">
      <protection locked="0"/>
    </xf>
    <xf numFmtId="5" fontId="11" fillId="2" borderId="1" xfId="2" applyNumberFormat="1" applyFont="1" applyFill="1" applyBorder="1" applyProtection="1">
      <protection locked="0"/>
    </xf>
    <xf numFmtId="0" fontId="41" fillId="2" borderId="1" xfId="0" applyFont="1" applyFill="1" applyBorder="1" applyAlignment="1" applyProtection="1">
      <alignment horizontal="center"/>
      <protection locked="0"/>
    </xf>
    <xf numFmtId="0" fontId="41" fillId="2" borderId="4" xfId="0" applyFont="1" applyFill="1" applyBorder="1" applyProtection="1">
      <protection locked="0"/>
    </xf>
    <xf numFmtId="5" fontId="41" fillId="2" borderId="1" xfId="0" applyNumberFormat="1" applyFont="1" applyFill="1" applyBorder="1" applyProtection="1">
      <protection locked="0"/>
    </xf>
    <xf numFmtId="9" fontId="41" fillId="2" borderId="1" xfId="0" applyNumberFormat="1" applyFont="1" applyFill="1" applyBorder="1" applyAlignment="1" applyProtection="1">
      <alignment horizontal="center"/>
      <protection locked="0"/>
    </xf>
    <xf numFmtId="3" fontId="11" fillId="2" borderId="5" xfId="0" applyNumberFormat="1" applyFont="1" applyFill="1" applyBorder="1" applyProtection="1">
      <protection locked="0"/>
    </xf>
    <xf numFmtId="3" fontId="11" fillId="2" borderId="6" xfId="0" applyNumberFormat="1" applyFont="1" applyFill="1" applyBorder="1" applyProtection="1">
      <protection locked="0"/>
    </xf>
    <xf numFmtId="9" fontId="11" fillId="2" borderId="1" xfId="4" applyFont="1" applyFill="1" applyBorder="1" applyProtection="1">
      <protection locked="0"/>
    </xf>
    <xf numFmtId="5" fontId="31" fillId="2" borderId="1" xfId="0" applyNumberFormat="1" applyFont="1" applyFill="1" applyBorder="1" applyProtection="1">
      <protection locked="0"/>
    </xf>
    <xf numFmtId="167" fontId="41" fillId="2" borderId="1" xfId="0" applyNumberFormat="1" applyFont="1" applyFill="1" applyBorder="1" applyProtection="1">
      <protection locked="0"/>
    </xf>
    <xf numFmtId="0" fontId="76" fillId="2" borderId="1" xfId="0" applyFont="1" applyFill="1" applyBorder="1" applyAlignment="1" applyProtection="1">
      <alignment horizontal="center"/>
      <protection locked="0"/>
    </xf>
    <xf numFmtId="5" fontId="11" fillId="2" borderId="1" xfId="0" applyNumberFormat="1" applyFont="1" applyFill="1" applyBorder="1" applyProtection="1">
      <protection locked="0"/>
    </xf>
    <xf numFmtId="9" fontId="11" fillId="2" borderId="1" xfId="0" applyNumberFormat="1" applyFont="1" applyFill="1" applyBorder="1" applyProtection="1">
      <protection locked="0"/>
    </xf>
    <xf numFmtId="9" fontId="11" fillId="2" borderId="0" xfId="0" applyNumberFormat="1" applyFont="1" applyFill="1" applyProtection="1">
      <protection locked="0"/>
    </xf>
    <xf numFmtId="5" fontId="11" fillId="2" borderId="7" xfId="0" applyNumberFormat="1" applyFont="1" applyFill="1" applyBorder="1" applyProtection="1">
      <protection locked="0"/>
    </xf>
    <xf numFmtId="5" fontId="11" fillId="3" borderId="1" xfId="0" applyNumberFormat="1" applyFont="1" applyFill="1" applyBorder="1" applyProtection="1">
      <protection locked="0"/>
    </xf>
    <xf numFmtId="0" fontId="10" fillId="4" borderId="8" xfId="0" applyFont="1" applyFill="1" applyBorder="1" applyProtection="1">
      <protection locked="0"/>
    </xf>
    <xf numFmtId="5" fontId="10" fillId="4" borderId="9" xfId="0" applyNumberFormat="1" applyFont="1" applyFill="1" applyBorder="1" applyProtection="1">
      <protection locked="0"/>
    </xf>
    <xf numFmtId="5" fontId="10" fillId="4" borderId="10" xfId="0" applyNumberFormat="1" applyFont="1" applyFill="1" applyBorder="1" applyProtection="1">
      <protection locked="0"/>
    </xf>
    <xf numFmtId="5" fontId="11" fillId="2" borderId="11" xfId="0" applyNumberFormat="1" applyFont="1" applyFill="1" applyBorder="1" applyProtection="1">
      <protection locked="0"/>
    </xf>
    <xf numFmtId="5" fontId="11" fillId="2" borderId="12" xfId="0" applyNumberFormat="1" applyFont="1" applyFill="1" applyBorder="1" applyProtection="1">
      <protection locked="0"/>
    </xf>
    <xf numFmtId="0" fontId="11" fillId="2" borderId="3" xfId="0" applyFont="1" applyFill="1" applyBorder="1" applyAlignment="1" applyProtection="1">
      <alignment horizontal="left"/>
      <protection locked="0"/>
    </xf>
    <xf numFmtId="3" fontId="99" fillId="0" borderId="0" xfId="0" applyNumberFormat="1" applyFont="1" applyAlignment="1"/>
    <xf numFmtId="3" fontId="100" fillId="0" borderId="0" xfId="0" applyNumberFormat="1" applyFont="1" applyAlignment="1"/>
    <xf numFmtId="170" fontId="101" fillId="0" borderId="0" xfId="0" applyNumberFormat="1" applyFont="1" applyAlignment="1"/>
    <xf numFmtId="3" fontId="99" fillId="5" borderId="0" xfId="0" applyNumberFormat="1" applyFont="1" applyFill="1" applyAlignment="1"/>
    <xf numFmtId="3" fontId="99" fillId="5" borderId="0" xfId="0" applyNumberFormat="1" applyFont="1" applyFill="1" applyAlignment="1">
      <alignment horizontal="center"/>
    </xf>
    <xf numFmtId="0" fontId="0" fillId="6" borderId="0" xfId="0" applyFill="1" applyAlignment="1"/>
    <xf numFmtId="0" fontId="57" fillId="2" borderId="1" xfId="0" applyFont="1" applyFill="1" applyBorder="1" applyAlignment="1" applyProtection="1">
      <alignment horizontal="center"/>
      <protection locked="0"/>
    </xf>
    <xf numFmtId="0" fontId="18" fillId="2" borderId="4" xfId="0" applyFont="1" applyFill="1" applyBorder="1" applyAlignment="1" applyProtection="1">
      <alignment horizontal="center"/>
      <protection locked="0"/>
    </xf>
    <xf numFmtId="4" fontId="11" fillId="2" borderId="1" xfId="0" quotePrefix="1" applyNumberFormat="1" applyFont="1" applyFill="1" applyBorder="1" applyAlignment="1" applyProtection="1">
      <alignment horizontal="center"/>
      <protection locked="0"/>
    </xf>
    <xf numFmtId="4" fontId="11" fillId="2" borderId="2" xfId="0" quotePrefix="1" applyNumberFormat="1" applyFont="1" applyFill="1" applyBorder="1" applyAlignment="1" applyProtection="1">
      <alignment horizontal="center"/>
      <protection locked="0"/>
    </xf>
    <xf numFmtId="173" fontId="17" fillId="2" borderId="1" xfId="2" applyNumberFormat="1" applyFont="1" applyFill="1" applyBorder="1" applyProtection="1">
      <protection locked="0"/>
    </xf>
    <xf numFmtId="0" fontId="3" fillId="2" borderId="13" xfId="0" quotePrefix="1" applyFont="1" applyFill="1" applyBorder="1" applyAlignment="1" applyProtection="1">
      <alignment horizontal="center"/>
      <protection locked="0"/>
    </xf>
    <xf numFmtId="166" fontId="11" fillId="2" borderId="14" xfId="0" applyNumberFormat="1" applyFont="1" applyFill="1" applyBorder="1" applyProtection="1">
      <protection locked="0"/>
    </xf>
    <xf numFmtId="3" fontId="11" fillId="3" borderId="5" xfId="0" applyNumberFormat="1" applyFont="1" applyFill="1" applyBorder="1" applyProtection="1">
      <protection locked="0"/>
    </xf>
    <xf numFmtId="167" fontId="17" fillId="4" borderId="1" xfId="0" applyNumberFormat="1" applyFont="1" applyFill="1" applyBorder="1" applyProtection="1">
      <protection locked="0"/>
    </xf>
    <xf numFmtId="166" fontId="11" fillId="4" borderId="1" xfId="0" applyNumberFormat="1" applyFont="1" applyFill="1" applyBorder="1" applyProtection="1">
      <protection locked="0"/>
    </xf>
    <xf numFmtId="174" fontId="11" fillId="2" borderId="1" xfId="1" quotePrefix="1" applyNumberFormat="1" applyFont="1" applyFill="1" applyBorder="1" applyProtection="1">
      <protection locked="0"/>
    </xf>
    <xf numFmtId="0" fontId="31" fillId="4" borderId="0" xfId="0" applyFont="1" applyFill="1" applyProtection="1"/>
    <xf numFmtId="0" fontId="110" fillId="0" borderId="0" xfId="0" applyFont="1"/>
    <xf numFmtId="1" fontId="110" fillId="0" borderId="0" xfId="0" applyNumberFormat="1" applyFont="1"/>
    <xf numFmtId="180" fontId="110" fillId="0" borderId="0" xfId="0" applyNumberFormat="1" applyFont="1"/>
    <xf numFmtId="2" fontId="112" fillId="7" borderId="0" xfId="0" applyNumberFormat="1" applyFont="1" applyFill="1" applyAlignment="1">
      <alignment horizontal="center"/>
    </xf>
    <xf numFmtId="1" fontId="0" fillId="0" borderId="0" xfId="0" applyNumberFormat="1" applyAlignment="1"/>
    <xf numFmtId="1" fontId="61" fillId="0" borderId="0" xfId="0" applyNumberFormat="1" applyFont="1" applyAlignment="1"/>
    <xf numFmtId="1" fontId="110" fillId="0" borderId="0" xfId="0" applyNumberFormat="1" applyFont="1" applyAlignment="1">
      <alignment horizontal="center"/>
    </xf>
    <xf numFmtId="0" fontId="49" fillId="0" borderId="0" xfId="0" applyFont="1" applyAlignment="1">
      <alignment horizontal="center"/>
    </xf>
    <xf numFmtId="9" fontId="49" fillId="0" borderId="0" xfId="0" applyNumberFormat="1" applyFont="1" applyAlignment="1">
      <alignment horizontal="center"/>
    </xf>
    <xf numFmtId="0" fontId="31" fillId="2" borderId="2" xfId="0" applyFont="1" applyFill="1" applyBorder="1" applyAlignment="1" applyProtection="1">
      <alignment horizontal="center"/>
      <protection locked="0"/>
    </xf>
    <xf numFmtId="0" fontId="54" fillId="4" borderId="0" xfId="0" applyFont="1" applyFill="1" applyProtection="1"/>
    <xf numFmtId="0" fontId="43" fillId="4" borderId="0" xfId="0" applyFont="1" applyFill="1" applyProtection="1"/>
    <xf numFmtId="0" fontId="45" fillId="0" borderId="0" xfId="0" applyFont="1" applyProtection="1"/>
    <xf numFmtId="0" fontId="46" fillId="4" borderId="0" xfId="0" applyFont="1" applyFill="1" applyProtection="1"/>
    <xf numFmtId="0" fontId="44" fillId="4" borderId="0" xfId="0" applyFont="1" applyFill="1" applyProtection="1"/>
    <xf numFmtId="0" fontId="20" fillId="4" borderId="0" xfId="0" applyFont="1" applyFill="1" applyAlignment="1" applyProtection="1">
      <alignment horizontal="centerContinuous"/>
    </xf>
    <xf numFmtId="0" fontId="21" fillId="4" borderId="0" xfId="0" applyFont="1" applyFill="1" applyAlignment="1" applyProtection="1">
      <alignment horizontal="centerContinuous"/>
    </xf>
    <xf numFmtId="0" fontId="1" fillId="0" borderId="0" xfId="0" applyFont="1" applyProtection="1"/>
    <xf numFmtId="0" fontId="21" fillId="4" borderId="9" xfId="0" applyFont="1" applyFill="1" applyBorder="1" applyAlignment="1" applyProtection="1">
      <alignment horizontal="centerContinuous"/>
    </xf>
    <xf numFmtId="0" fontId="20" fillId="4" borderId="9" xfId="0" applyFont="1" applyFill="1" applyBorder="1" applyAlignment="1" applyProtection="1">
      <alignment horizontal="centerContinuous"/>
    </xf>
    <xf numFmtId="0" fontId="12" fillId="4" borderId="15" xfId="0" applyFont="1" applyFill="1" applyBorder="1" applyAlignment="1" applyProtection="1">
      <alignment horizontal="centerContinuous"/>
    </xf>
    <xf numFmtId="0" fontId="16" fillId="4" borderId="16" xfId="0" applyFont="1" applyFill="1" applyBorder="1" applyAlignment="1" applyProtection="1">
      <alignment horizontal="centerContinuous"/>
    </xf>
    <xf numFmtId="0" fontId="12" fillId="4" borderId="16" xfId="0" applyFont="1" applyFill="1" applyBorder="1" applyAlignment="1" applyProtection="1">
      <alignment horizontal="centerContinuous"/>
    </xf>
    <xf numFmtId="164" fontId="16" fillId="4" borderId="16" xfId="0" applyNumberFormat="1" applyFont="1" applyFill="1" applyBorder="1" applyAlignment="1" applyProtection="1">
      <alignment horizontal="centerContinuous"/>
    </xf>
    <xf numFmtId="0" fontId="16" fillId="4" borderId="17" xfId="0" applyFont="1" applyFill="1" applyBorder="1" applyAlignment="1" applyProtection="1">
      <alignment horizontal="centerContinuous"/>
    </xf>
    <xf numFmtId="0" fontId="14" fillId="0" borderId="0" xfId="0" applyFont="1" applyProtection="1"/>
    <xf numFmtId="0" fontId="10" fillId="4" borderId="18" xfId="0" applyFont="1" applyFill="1" applyBorder="1" applyProtection="1"/>
    <xf numFmtId="0" fontId="10" fillId="4" borderId="0" xfId="0" applyFont="1" applyFill="1" applyProtection="1"/>
    <xf numFmtId="164" fontId="10" fillId="4" borderId="0" xfId="0" applyNumberFormat="1" applyFont="1" applyFill="1" applyProtection="1"/>
    <xf numFmtId="0" fontId="10" fillId="4" borderId="19" xfId="0" applyFont="1" applyFill="1" applyBorder="1" applyProtection="1"/>
    <xf numFmtId="0" fontId="10" fillId="4" borderId="20" xfId="0" applyFont="1" applyFill="1" applyBorder="1" applyProtection="1"/>
    <xf numFmtId="0" fontId="42" fillId="0" borderId="0" xfId="0" applyFont="1" applyProtection="1"/>
    <xf numFmtId="0" fontId="39" fillId="0" borderId="0" xfId="0" applyFont="1" applyProtection="1"/>
    <xf numFmtId="0" fontId="41" fillId="4" borderId="18" xfId="0" applyFont="1" applyFill="1" applyBorder="1" applyProtection="1"/>
    <xf numFmtId="0" fontId="41" fillId="4" borderId="0" xfId="0" applyFont="1" applyFill="1" applyProtection="1"/>
    <xf numFmtId="164" fontId="41" fillId="4" borderId="0" xfId="0" applyNumberFormat="1" applyFont="1" applyFill="1" applyProtection="1"/>
    <xf numFmtId="0" fontId="41" fillId="4" borderId="20" xfId="0" applyFont="1" applyFill="1" applyBorder="1" applyProtection="1"/>
    <xf numFmtId="0" fontId="41" fillId="3" borderId="3" xfId="0" applyFont="1" applyFill="1" applyBorder="1" applyAlignment="1" applyProtection="1">
      <alignment horizontal="center"/>
    </xf>
    <xf numFmtId="0" fontId="43" fillId="4" borderId="21" xfId="0" applyFont="1" applyFill="1" applyBorder="1" applyProtection="1"/>
    <xf numFmtId="164" fontId="43" fillId="4" borderId="0" xfId="0" applyNumberFormat="1" applyFont="1" applyFill="1" applyProtection="1"/>
    <xf numFmtId="0" fontId="43" fillId="4" borderId="20" xfId="0" applyFont="1" applyFill="1" applyBorder="1" applyProtection="1"/>
    <xf numFmtId="0" fontId="41" fillId="4" borderId="21" xfId="0" applyFont="1" applyFill="1" applyBorder="1" applyProtection="1"/>
    <xf numFmtId="0" fontId="47" fillId="4" borderId="0" xfId="0" applyFont="1" applyFill="1" applyProtection="1"/>
    <xf numFmtId="0" fontId="11" fillId="4" borderId="21" xfId="0" applyFont="1" applyFill="1" applyBorder="1" applyProtection="1"/>
    <xf numFmtId="0" fontId="11" fillId="4" borderId="0" xfId="0" applyFont="1" applyFill="1" applyBorder="1" applyProtection="1"/>
    <xf numFmtId="164" fontId="31" fillId="4" borderId="0" xfId="0" applyNumberFormat="1" applyFont="1" applyFill="1" applyBorder="1" applyProtection="1"/>
    <xf numFmtId="0" fontId="31" fillId="4" borderId="0" xfId="0" applyFont="1" applyFill="1" applyBorder="1" applyProtection="1"/>
    <xf numFmtId="0" fontId="13" fillId="4" borderId="0" xfId="0" applyFont="1" applyFill="1" applyBorder="1" applyProtection="1"/>
    <xf numFmtId="0" fontId="40" fillId="0" borderId="0" xfId="0" applyFont="1" applyProtection="1"/>
    <xf numFmtId="0" fontId="40" fillId="0" borderId="0" xfId="0" applyFont="1" applyBorder="1" applyProtection="1"/>
    <xf numFmtId="0" fontId="0" fillId="0" borderId="0" xfId="0" applyProtection="1"/>
    <xf numFmtId="0" fontId="11" fillId="4" borderId="0" xfId="0" applyFont="1" applyFill="1" applyProtection="1"/>
    <xf numFmtId="0" fontId="87" fillId="4" borderId="0" xfId="0" applyFont="1" applyFill="1" applyBorder="1" applyProtection="1"/>
    <xf numFmtId="0" fontId="31" fillId="4" borderId="20" xfId="0" applyFont="1" applyFill="1" applyBorder="1" applyProtection="1"/>
    <xf numFmtId="0" fontId="12" fillId="4" borderId="22" xfId="0" applyFont="1" applyFill="1" applyBorder="1" applyAlignment="1" applyProtection="1">
      <alignment horizontal="centerContinuous"/>
    </xf>
    <xf numFmtId="0" fontId="14" fillId="4" borderId="23" xfId="0" applyFont="1" applyFill="1" applyBorder="1" applyAlignment="1" applyProtection="1">
      <alignment horizontal="centerContinuous"/>
    </xf>
    <xf numFmtId="0" fontId="6" fillId="4" borderId="23" xfId="0" applyFont="1" applyFill="1" applyBorder="1" applyAlignment="1" applyProtection="1">
      <alignment horizontal="centerContinuous"/>
    </xf>
    <xf numFmtId="164" fontId="50" fillId="4" borderId="23" xfId="0" applyNumberFormat="1" applyFont="1" applyFill="1" applyBorder="1" applyAlignment="1" applyProtection="1">
      <alignment horizontal="centerContinuous"/>
    </xf>
    <xf numFmtId="0" fontId="50" fillId="4" borderId="23" xfId="0" applyFont="1" applyFill="1" applyBorder="1" applyAlignment="1" applyProtection="1">
      <alignment horizontal="centerContinuous"/>
    </xf>
    <xf numFmtId="0" fontId="50" fillId="4" borderId="24" xfId="0" applyFont="1" applyFill="1" applyBorder="1" applyAlignment="1" applyProtection="1">
      <alignment horizontal="centerContinuous"/>
    </xf>
    <xf numFmtId="166" fontId="11" fillId="4" borderId="21" xfId="0" applyNumberFormat="1" applyFont="1" applyFill="1" applyBorder="1" applyProtection="1"/>
    <xf numFmtId="164" fontId="11" fillId="8" borderId="0" xfId="0" applyNumberFormat="1" applyFont="1" applyFill="1" applyProtection="1"/>
    <xf numFmtId="0" fontId="13" fillId="4" borderId="0" xfId="0" applyFont="1" applyFill="1" applyProtection="1"/>
    <xf numFmtId="0" fontId="11" fillId="4" borderId="18" xfId="0" applyFont="1" applyFill="1" applyBorder="1" applyProtection="1"/>
    <xf numFmtId="164" fontId="40" fillId="0" borderId="0" xfId="0" applyNumberFormat="1" applyFont="1" applyProtection="1"/>
    <xf numFmtId="0" fontId="11" fillId="8" borderId="0" xfId="0" applyFont="1" applyFill="1" applyProtection="1"/>
    <xf numFmtId="0" fontId="33" fillId="4" borderId="0" xfId="0" applyFont="1" applyFill="1" applyProtection="1"/>
    <xf numFmtId="0" fontId="11" fillId="2" borderId="4" xfId="0" applyFont="1" applyFill="1" applyBorder="1" applyAlignment="1" applyProtection="1">
      <alignment horizontal="left"/>
    </xf>
    <xf numFmtId="0" fontId="11" fillId="2" borderId="5" xfId="0" applyFont="1" applyFill="1" applyBorder="1" applyAlignment="1" applyProtection="1">
      <alignment horizontal="left"/>
    </xf>
    <xf numFmtId="164" fontId="11" fillId="4" borderId="0" xfId="0" applyNumberFormat="1" applyFont="1" applyFill="1" applyProtection="1"/>
    <xf numFmtId="0" fontId="43" fillId="4" borderId="18" xfId="0" applyFont="1" applyFill="1" applyBorder="1" applyProtection="1"/>
    <xf numFmtId="0" fontId="51" fillId="4" borderId="0" xfId="0" applyFont="1" applyFill="1" applyProtection="1"/>
    <xf numFmtId="0" fontId="49" fillId="4" borderId="0" xfId="0" applyFont="1" applyFill="1" applyAlignment="1" applyProtection="1">
      <alignment horizontal="right"/>
    </xf>
    <xf numFmtId="0" fontId="13" fillId="4" borderId="18" xfId="0" applyFont="1" applyFill="1" applyBorder="1" applyProtection="1"/>
    <xf numFmtId="0" fontId="11" fillId="4" borderId="20" xfId="0" applyFont="1" applyFill="1" applyBorder="1" applyProtection="1"/>
    <xf numFmtId="0" fontId="52" fillId="4" borderId="0" xfId="0" applyFont="1" applyFill="1" applyAlignment="1" applyProtection="1">
      <alignment horizontal="centerContinuous"/>
    </xf>
    <xf numFmtId="15" fontId="42" fillId="0" borderId="0" xfId="0" applyNumberFormat="1" applyFont="1" applyProtection="1"/>
    <xf numFmtId="0" fontId="11" fillId="4" borderId="25" xfId="0" applyFont="1" applyFill="1" applyBorder="1" applyProtection="1"/>
    <xf numFmtId="0" fontId="11" fillId="4" borderId="8" xfId="0" applyFont="1" applyFill="1" applyBorder="1" applyProtection="1"/>
    <xf numFmtId="0" fontId="31" fillId="4" borderId="9" xfId="0" applyFont="1" applyFill="1" applyBorder="1" applyProtection="1"/>
    <xf numFmtId="0" fontId="10" fillId="4" borderId="9" xfId="0" applyFont="1" applyFill="1" applyBorder="1" applyProtection="1"/>
    <xf numFmtId="37" fontId="10" fillId="4" borderId="9" xfId="0" applyNumberFormat="1" applyFont="1" applyFill="1" applyBorder="1" applyProtection="1"/>
    <xf numFmtId="0" fontId="10" fillId="4" borderId="10" xfId="0" applyFont="1" applyFill="1" applyBorder="1" applyProtection="1"/>
    <xf numFmtId="0" fontId="48" fillId="4" borderId="0" xfId="0" applyFont="1" applyFill="1" applyProtection="1"/>
    <xf numFmtId="14" fontId="48" fillId="4" borderId="0" xfId="0" applyNumberFormat="1" applyFont="1" applyFill="1" applyAlignment="1" applyProtection="1">
      <alignment horizontal="right"/>
    </xf>
    <xf numFmtId="0" fontId="17" fillId="4" borderId="0" xfId="0" applyFont="1" applyFill="1" applyProtection="1"/>
    <xf numFmtId="0" fontId="27" fillId="4" borderId="0" xfId="0" applyFont="1" applyFill="1" applyProtection="1"/>
    <xf numFmtId="0" fontId="11" fillId="4" borderId="26" xfId="0" applyFont="1" applyFill="1" applyBorder="1" applyProtection="1"/>
    <xf numFmtId="0" fontId="31" fillId="4" borderId="27" xfId="0" applyFont="1" applyFill="1" applyBorder="1" applyProtection="1"/>
    <xf numFmtId="0" fontId="17" fillId="4" borderId="27" xfId="0" applyFont="1" applyFill="1" applyBorder="1" applyProtection="1"/>
    <xf numFmtId="0" fontId="17" fillId="4" borderId="28" xfId="0" applyFont="1" applyFill="1" applyBorder="1" applyProtection="1"/>
    <xf numFmtId="0" fontId="19" fillId="4" borderId="0" xfId="0" applyFont="1" applyFill="1" applyProtection="1"/>
    <xf numFmtId="0" fontId="48" fillId="4" borderId="0" xfId="0" applyFont="1" applyFill="1" applyAlignment="1" applyProtection="1">
      <alignment horizontal="center"/>
    </xf>
    <xf numFmtId="166" fontId="48" fillId="4" borderId="0" xfId="0" applyNumberFormat="1" applyFont="1" applyFill="1" applyAlignment="1" applyProtection="1">
      <alignment horizontal="center"/>
    </xf>
    <xf numFmtId="37" fontId="48" fillId="4" borderId="0" xfId="0" applyNumberFormat="1" applyFont="1" applyFill="1" applyAlignment="1" applyProtection="1">
      <alignment horizontal="center"/>
    </xf>
    <xf numFmtId="167" fontId="48" fillId="4" borderId="0" xfId="0" applyNumberFormat="1" applyFont="1" applyFill="1" applyAlignment="1" applyProtection="1">
      <alignment horizontal="center"/>
    </xf>
    <xf numFmtId="0" fontId="31" fillId="4" borderId="29" xfId="0" applyFont="1" applyFill="1" applyBorder="1" applyProtection="1"/>
    <xf numFmtId="166" fontId="11" fillId="3" borderId="1" xfId="0" applyNumberFormat="1" applyFont="1" applyFill="1" applyBorder="1" applyProtection="1"/>
    <xf numFmtId="0" fontId="31" fillId="4" borderId="30" xfId="0" quotePrefix="1" applyFont="1" applyFill="1" applyBorder="1" applyProtection="1"/>
    <xf numFmtId="0" fontId="31" fillId="4" borderId="30" xfId="0" quotePrefix="1" applyFont="1" applyFill="1" applyBorder="1" applyAlignment="1" applyProtection="1">
      <alignment horizontal="left"/>
    </xf>
    <xf numFmtId="0" fontId="29" fillId="4" borderId="0" xfId="0" applyFont="1" applyFill="1" applyProtection="1"/>
    <xf numFmtId="166" fontId="49" fillId="3" borderId="1" xfId="0" applyNumberFormat="1" applyFont="1" applyFill="1" applyBorder="1" applyProtection="1"/>
    <xf numFmtId="166" fontId="11" fillId="3" borderId="31" xfId="0" applyNumberFormat="1" applyFont="1" applyFill="1" applyBorder="1" applyProtection="1"/>
    <xf numFmtId="0" fontId="17" fillId="4" borderId="20" xfId="0" applyFont="1" applyFill="1" applyBorder="1" applyProtection="1"/>
    <xf numFmtId="166" fontId="31" fillId="4" borderId="0" xfId="0" applyNumberFormat="1" applyFont="1" applyFill="1" applyProtection="1"/>
    <xf numFmtId="166" fontId="0" fillId="4" borderId="0" xfId="0" applyNumberFormat="1" applyFill="1" applyProtection="1"/>
    <xf numFmtId="166" fontId="56" fillId="4" borderId="0" xfId="0" applyNumberFormat="1" applyFont="1" applyFill="1" applyAlignment="1" applyProtection="1">
      <alignment horizontal="right"/>
    </xf>
    <xf numFmtId="166" fontId="56" fillId="4" borderId="32" xfId="0" applyNumberFormat="1" applyFont="1" applyFill="1" applyBorder="1" applyProtection="1"/>
    <xf numFmtId="0" fontId="31" fillId="4" borderId="18" xfId="0" applyFont="1" applyFill="1" applyBorder="1" applyProtection="1"/>
    <xf numFmtId="37" fontId="31" fillId="4" borderId="0" xfId="0" applyNumberFormat="1" applyFont="1" applyFill="1" applyProtection="1"/>
    <xf numFmtId="164" fontId="31" fillId="4" borderId="0" xfId="0" applyNumberFormat="1" applyFont="1" applyFill="1" applyProtection="1"/>
    <xf numFmtId="0" fontId="17" fillId="4" borderId="0" xfId="0" applyFont="1" applyFill="1" applyAlignment="1" applyProtection="1">
      <alignment horizontal="center"/>
    </xf>
    <xf numFmtId="0" fontId="31" fillId="4" borderId="0" xfId="0" applyFont="1" applyFill="1" applyAlignment="1" applyProtection="1">
      <alignment horizontal="center"/>
    </xf>
    <xf numFmtId="0" fontId="31" fillId="4" borderId="33" xfId="0" applyFont="1" applyFill="1" applyBorder="1" applyAlignment="1" applyProtection="1">
      <alignment horizontal="center"/>
    </xf>
    <xf numFmtId="0" fontId="57" fillId="4" borderId="0" xfId="0" applyFont="1" applyFill="1" applyBorder="1" applyProtection="1"/>
    <xf numFmtId="0" fontId="31" fillId="4" borderId="8" xfId="0" applyFont="1" applyFill="1" applyBorder="1" applyProtection="1"/>
    <xf numFmtId="0" fontId="17" fillId="4" borderId="9" xfId="0" applyFont="1" applyFill="1" applyBorder="1" applyProtection="1"/>
    <xf numFmtId="0" fontId="17" fillId="4" borderId="10" xfId="0" applyFont="1" applyFill="1" applyBorder="1" applyProtection="1"/>
    <xf numFmtId="0" fontId="43" fillId="4" borderId="26" xfId="0" applyFont="1" applyFill="1" applyBorder="1" applyProtection="1"/>
    <xf numFmtId="0" fontId="43" fillId="4" borderId="27" xfId="0" applyFont="1" applyFill="1" applyBorder="1" applyProtection="1"/>
    <xf numFmtId="0" fontId="44" fillId="4" borderId="27" xfId="0" applyFont="1" applyFill="1" applyBorder="1" applyProtection="1"/>
    <xf numFmtId="0" fontId="52" fillId="4" borderId="27" xfId="0" applyFont="1" applyFill="1" applyBorder="1" applyAlignment="1" applyProtection="1">
      <alignment horizontal="center"/>
    </xf>
    <xf numFmtId="0" fontId="43" fillId="4" borderId="28" xfId="0" applyFont="1" applyFill="1" applyBorder="1" applyProtection="1"/>
    <xf numFmtId="0" fontId="27" fillId="4" borderId="0" xfId="0" applyFont="1" applyFill="1" applyAlignment="1" applyProtection="1">
      <alignment horizontal="center"/>
    </xf>
    <xf numFmtId="0" fontId="27" fillId="4" borderId="0" xfId="0" applyFont="1" applyFill="1" applyAlignment="1" applyProtection="1">
      <alignment horizontal="center" vertical="center"/>
    </xf>
    <xf numFmtId="166" fontId="11" fillId="3" borderId="13" xfId="0" applyNumberFormat="1" applyFont="1" applyFill="1" applyBorder="1" applyAlignment="1" applyProtection="1"/>
    <xf numFmtId="166" fontId="11" fillId="4" borderId="0" xfId="0" applyNumberFormat="1" applyFont="1" applyFill="1" applyProtection="1"/>
    <xf numFmtId="166" fontId="11" fillId="3" borderId="2" xfId="0" applyNumberFormat="1" applyFont="1" applyFill="1" applyBorder="1" applyAlignment="1" applyProtection="1"/>
    <xf numFmtId="166" fontId="31" fillId="3" borderId="2" xfId="0" applyNumberFormat="1" applyFont="1" applyFill="1" applyBorder="1" applyProtection="1"/>
    <xf numFmtId="0" fontId="17" fillId="3" borderId="1" xfId="0" applyFont="1" applyFill="1" applyBorder="1" applyProtection="1"/>
    <xf numFmtId="0" fontId="11" fillId="3" borderId="1" xfId="0" applyFont="1" applyFill="1" applyBorder="1" applyProtection="1"/>
    <xf numFmtId="174" fontId="11" fillId="3" borderId="1" xfId="1" applyNumberFormat="1" applyFont="1" applyFill="1" applyBorder="1" applyProtection="1"/>
    <xf numFmtId="9" fontId="11" fillId="3" borderId="1" xfId="4" applyFont="1" applyFill="1" applyBorder="1" applyAlignment="1" applyProtection="1">
      <alignment horizontal="right"/>
    </xf>
    <xf numFmtId="167" fontId="11" fillId="3" borderId="1" xfId="0" applyNumberFormat="1" applyFont="1" applyFill="1" applyBorder="1" applyProtection="1"/>
    <xf numFmtId="166" fontId="17" fillId="4" borderId="0" xfId="0" applyNumberFormat="1" applyFont="1" applyFill="1" applyProtection="1"/>
    <xf numFmtId="0" fontId="55" fillId="4" borderId="0" xfId="0" applyFont="1" applyFill="1" applyAlignment="1" applyProtection="1">
      <alignment horizontal="center"/>
    </xf>
    <xf numFmtId="0" fontId="11" fillId="4" borderId="0" xfId="0" applyFont="1" applyFill="1" applyAlignment="1" applyProtection="1">
      <alignment horizontal="center"/>
    </xf>
    <xf numFmtId="0" fontId="11" fillId="4" borderId="0" xfId="0" applyFont="1" applyFill="1" applyAlignment="1" applyProtection="1">
      <alignment horizontal="left"/>
    </xf>
    <xf numFmtId="0" fontId="31" fillId="4" borderId="32" xfId="0" applyFont="1" applyFill="1" applyBorder="1" applyProtection="1"/>
    <xf numFmtId="164" fontId="17" fillId="4" borderId="0" xfId="0" applyNumberFormat="1" applyFont="1" applyFill="1" applyProtection="1"/>
    <xf numFmtId="166" fontId="31" fillId="3" borderId="1" xfId="0" applyNumberFormat="1" applyFont="1" applyFill="1" applyBorder="1" applyProtection="1"/>
    <xf numFmtId="0" fontId="31" fillId="4" borderId="0" xfId="0" applyFont="1" applyFill="1" applyAlignment="1" applyProtection="1">
      <alignment horizontal="right"/>
    </xf>
    <xf numFmtId="164" fontId="31" fillId="4" borderId="20" xfId="0" applyNumberFormat="1" applyFont="1" applyFill="1" applyBorder="1" applyProtection="1"/>
    <xf numFmtId="0" fontId="17" fillId="4" borderId="0" xfId="0" applyFont="1" applyFill="1" applyAlignment="1" applyProtection="1">
      <alignment horizontal="right"/>
    </xf>
    <xf numFmtId="0" fontId="11" fillId="4" borderId="0" xfId="0" applyFont="1" applyFill="1" applyAlignment="1" applyProtection="1">
      <alignment horizontal="right"/>
    </xf>
    <xf numFmtId="0" fontId="10" fillId="4" borderId="26" xfId="0" applyFont="1" applyFill="1" applyBorder="1" applyProtection="1"/>
    <xf numFmtId="0" fontId="10" fillId="4" borderId="27" xfId="0" applyFont="1" applyFill="1" applyBorder="1" applyProtection="1"/>
    <xf numFmtId="0" fontId="10" fillId="4" borderId="28" xfId="0" applyFont="1" applyFill="1" applyBorder="1" applyProtection="1"/>
    <xf numFmtId="0" fontId="87" fillId="4" borderId="0" xfId="0" applyFont="1" applyFill="1" applyProtection="1"/>
    <xf numFmtId="0" fontId="34" fillId="4" borderId="0" xfId="0" applyFont="1" applyFill="1" applyProtection="1"/>
    <xf numFmtId="0" fontId="36" fillId="4" borderId="0" xfId="0" applyFont="1" applyFill="1" applyProtection="1"/>
    <xf numFmtId="0" fontId="16" fillId="4" borderId="34" xfId="0" applyFont="1" applyFill="1" applyBorder="1" applyAlignment="1" applyProtection="1">
      <alignment horizontal="centerContinuous"/>
    </xf>
    <xf numFmtId="0" fontId="16" fillId="4" borderId="35" xfId="0" applyFont="1" applyFill="1" applyBorder="1" applyAlignment="1" applyProtection="1">
      <alignment horizontal="centerContinuous"/>
    </xf>
    <xf numFmtId="0" fontId="12" fillId="4" borderId="35" xfId="0" applyFont="1" applyFill="1" applyBorder="1" applyAlignment="1" applyProtection="1">
      <alignment horizontal="centerContinuous"/>
    </xf>
    <xf numFmtId="164" fontId="16" fillId="4" borderId="35" xfId="0" applyNumberFormat="1" applyFont="1" applyFill="1" applyBorder="1" applyAlignment="1" applyProtection="1">
      <alignment horizontal="centerContinuous"/>
    </xf>
    <xf numFmtId="0" fontId="16" fillId="4" borderId="36" xfId="0" applyFont="1" applyFill="1" applyBorder="1" applyAlignment="1" applyProtection="1">
      <alignment horizontal="centerContinuous"/>
    </xf>
    <xf numFmtId="0" fontId="10" fillId="4" borderId="8" xfId="0" applyFont="1" applyFill="1" applyBorder="1" applyProtection="1"/>
    <xf numFmtId="0" fontId="13" fillId="4" borderId="0" xfId="0" applyFont="1" applyFill="1" applyAlignment="1" applyProtection="1">
      <alignment horizontal="center"/>
    </xf>
    <xf numFmtId="0" fontId="57" fillId="4" borderId="0" xfId="0" applyFont="1" applyFill="1" applyProtection="1"/>
    <xf numFmtId="37" fontId="11" fillId="4" borderId="0" xfId="0" applyNumberFormat="1" applyFont="1" applyFill="1" applyProtection="1"/>
    <xf numFmtId="164" fontId="41" fillId="4" borderId="20" xfId="0" applyNumberFormat="1" applyFont="1" applyFill="1" applyBorder="1" applyProtection="1"/>
    <xf numFmtId="0" fontId="83" fillId="4" borderId="0" xfId="0" applyFont="1" applyFill="1" applyProtection="1"/>
    <xf numFmtId="37" fontId="13" fillId="4" borderId="0" xfId="0" applyNumberFormat="1" applyFont="1" applyFill="1" applyProtection="1"/>
    <xf numFmtId="37" fontId="17" fillId="4" borderId="9" xfId="0" applyNumberFormat="1" applyFont="1" applyFill="1" applyBorder="1" applyProtection="1"/>
    <xf numFmtId="0" fontId="14" fillId="4" borderId="16" xfId="0" applyFont="1" applyFill="1" applyBorder="1" applyAlignment="1" applyProtection="1">
      <alignment horizontal="centerContinuous"/>
    </xf>
    <xf numFmtId="0" fontId="6" fillId="4" borderId="16" xfId="0" applyFont="1" applyFill="1" applyBorder="1" applyAlignment="1" applyProtection="1">
      <alignment horizontal="centerContinuous"/>
    </xf>
    <xf numFmtId="0" fontId="14" fillId="4" borderId="17" xfId="0" applyFont="1" applyFill="1" applyBorder="1" applyAlignment="1" applyProtection="1">
      <alignment horizontal="centerContinuous"/>
    </xf>
    <xf numFmtId="0" fontId="10" fillId="4" borderId="0" xfId="0" applyFont="1" applyFill="1" applyAlignment="1" applyProtection="1">
      <alignment horizontal="center"/>
    </xf>
    <xf numFmtId="0" fontId="77" fillId="4" borderId="0" xfId="0" applyFont="1" applyFill="1" applyProtection="1"/>
    <xf numFmtId="0" fontId="40" fillId="4" borderId="0" xfId="0" applyFont="1" applyFill="1" applyProtection="1"/>
    <xf numFmtId="172" fontId="41" fillId="2" borderId="1" xfId="0" applyNumberFormat="1" applyFont="1" applyFill="1" applyBorder="1" applyAlignment="1" applyProtection="1">
      <alignment horizontal="center"/>
      <protection locked="0"/>
    </xf>
    <xf numFmtId="0" fontId="49" fillId="2" borderId="37" xfId="0" applyNumberFormat="1" applyFont="1" applyFill="1" applyBorder="1" applyAlignment="1" applyProtection="1">
      <alignment horizontal="center"/>
      <protection locked="0"/>
    </xf>
    <xf numFmtId="0" fontId="45" fillId="0" borderId="0" xfId="0" applyFont="1" applyProtection="1">
      <protection locked="0"/>
    </xf>
    <xf numFmtId="0" fontId="98" fillId="4" borderId="0" xfId="0" applyFont="1" applyFill="1" applyBorder="1" applyProtection="1">
      <protection locked="0"/>
    </xf>
    <xf numFmtId="0" fontId="41" fillId="2" borderId="37" xfId="0" applyFont="1" applyFill="1" applyBorder="1" applyAlignment="1" applyProtection="1">
      <alignment horizontal="center"/>
      <protection locked="0"/>
    </xf>
    <xf numFmtId="0" fontId="49" fillId="2" borderId="37" xfId="0" applyFont="1" applyFill="1" applyBorder="1" applyAlignment="1" applyProtection="1">
      <alignment horizontal="center"/>
      <protection locked="0"/>
    </xf>
    <xf numFmtId="14" fontId="56" fillId="3" borderId="13" xfId="0" applyNumberFormat="1" applyFont="1" applyFill="1" applyBorder="1" applyAlignment="1" applyProtection="1">
      <alignment horizontal="center"/>
      <protection locked="0"/>
    </xf>
    <xf numFmtId="0" fontId="115" fillId="4" borderId="0" xfId="0" applyFont="1" applyFill="1" applyAlignment="1" applyProtection="1">
      <alignment horizontal="center"/>
      <protection locked="0"/>
    </xf>
    <xf numFmtId="0" fontId="84" fillId="4" borderId="0" xfId="0" applyFont="1" applyFill="1" applyAlignment="1" applyProtection="1">
      <alignment horizontal="right"/>
      <protection locked="0"/>
    </xf>
    <xf numFmtId="0" fontId="11" fillId="4" borderId="0" xfId="0" applyFont="1" applyFill="1" applyProtection="1">
      <protection locked="0"/>
    </xf>
    <xf numFmtId="49" fontId="90" fillId="2" borderId="13" xfId="0" applyNumberFormat="1" applyFont="1" applyFill="1" applyBorder="1" applyAlignment="1" applyProtection="1">
      <alignment horizontal="center"/>
      <protection locked="0"/>
    </xf>
    <xf numFmtId="0" fontId="31" fillId="2" borderId="13" xfId="0" applyFont="1" applyFill="1" applyBorder="1" applyAlignment="1" applyProtection="1">
      <alignment horizontal="center"/>
      <protection locked="0"/>
    </xf>
    <xf numFmtId="0" fontId="0" fillId="0" borderId="0" xfId="0" applyFill="1" applyBorder="1" applyProtection="1">
      <protection locked="0"/>
    </xf>
    <xf numFmtId="0" fontId="87" fillId="4" borderId="38" xfId="0" applyFont="1" applyFill="1" applyBorder="1" applyProtection="1">
      <protection locked="0"/>
    </xf>
    <xf numFmtId="0" fontId="87" fillId="4" borderId="0" xfId="0" applyFont="1" applyFill="1" applyProtection="1">
      <protection locked="0"/>
    </xf>
    <xf numFmtId="0" fontId="57" fillId="4" borderId="0" xfId="0" applyFont="1" applyFill="1" applyProtection="1">
      <protection locked="0"/>
    </xf>
    <xf numFmtId="0" fontId="41" fillId="4" borderId="0" xfId="0" applyFont="1" applyFill="1" applyProtection="1">
      <protection locked="0"/>
    </xf>
    <xf numFmtId="0" fontId="57" fillId="2" borderId="13" xfId="0" applyFont="1" applyFill="1" applyBorder="1" applyAlignment="1" applyProtection="1">
      <alignment horizontal="center"/>
      <protection locked="0"/>
    </xf>
    <xf numFmtId="0" fontId="17" fillId="0" borderId="0" xfId="0" applyFont="1" applyFill="1" applyProtection="1"/>
    <xf numFmtId="0" fontId="89" fillId="4" borderId="0" xfId="0" applyFont="1" applyFill="1" applyProtection="1">
      <protection locked="0"/>
    </xf>
    <xf numFmtId="0" fontId="68" fillId="4" borderId="0" xfId="0" applyFont="1" applyFill="1" applyAlignment="1" applyProtection="1">
      <alignment horizontal="centerContinuous"/>
    </xf>
    <xf numFmtId="0" fontId="25" fillId="4" borderId="0" xfId="0" applyFont="1" applyFill="1" applyAlignment="1" applyProtection="1">
      <alignment horizontal="centerContinuous"/>
    </xf>
    <xf numFmtId="0" fontId="69" fillId="4" borderId="0" xfId="0" applyFont="1" applyFill="1" applyAlignment="1" applyProtection="1">
      <alignment horizontal="centerContinuous"/>
    </xf>
    <xf numFmtId="0" fontId="31" fillId="4" borderId="26" xfId="0" applyFont="1" applyFill="1" applyBorder="1" applyProtection="1"/>
    <xf numFmtId="0" fontId="28" fillId="4" borderId="27" xfId="0" applyFont="1" applyFill="1" applyBorder="1" applyProtection="1"/>
    <xf numFmtId="0" fontId="28" fillId="4" borderId="28" xfId="0" applyFont="1" applyFill="1" applyBorder="1" applyProtection="1"/>
    <xf numFmtId="0" fontId="30" fillId="4" borderId="0" xfId="0" applyFont="1" applyFill="1" applyProtection="1"/>
    <xf numFmtId="0" fontId="0" fillId="4" borderId="0" xfId="0" applyFill="1" applyProtection="1"/>
    <xf numFmtId="0" fontId="30" fillId="4" borderId="20" xfId="0" applyFont="1" applyFill="1" applyBorder="1" applyProtection="1"/>
    <xf numFmtId="0" fontId="28" fillId="4" borderId="0" xfId="0" applyFont="1" applyFill="1" applyProtection="1"/>
    <xf numFmtId="0" fontId="28" fillId="4" borderId="20" xfId="0" applyFont="1" applyFill="1" applyBorder="1" applyProtection="1"/>
    <xf numFmtId="0" fontId="92" fillId="0" borderId="0" xfId="0" applyFont="1" applyProtection="1"/>
    <xf numFmtId="0" fontId="82" fillId="0" borderId="0" xfId="3" applyAlignment="1" applyProtection="1"/>
    <xf numFmtId="0" fontId="56" fillId="4" borderId="0" xfId="0" applyFont="1" applyFill="1" applyProtection="1"/>
    <xf numFmtId="0" fontId="45" fillId="4" borderId="0" xfId="0" applyFont="1" applyFill="1" applyProtection="1"/>
    <xf numFmtId="0" fontId="28" fillId="4" borderId="9" xfId="0" applyFont="1" applyFill="1" applyBorder="1" applyProtection="1"/>
    <xf numFmtId="0" fontId="28" fillId="4" borderId="10" xfId="0" applyFont="1" applyFill="1" applyBorder="1" applyProtection="1"/>
    <xf numFmtId="15" fontId="48" fillId="4" borderId="0" xfId="0" applyNumberFormat="1" applyFont="1" applyFill="1" applyAlignment="1" applyProtection="1">
      <alignment horizontal="right"/>
    </xf>
    <xf numFmtId="0" fontId="57" fillId="4" borderId="20" xfId="0" applyFont="1" applyFill="1" applyBorder="1" applyProtection="1"/>
    <xf numFmtId="0" fontId="91" fillId="2" borderId="3" xfId="3" applyFont="1" applyFill="1" applyBorder="1" applyAlignment="1" applyProtection="1">
      <alignment horizontal="left"/>
      <protection locked="0"/>
    </xf>
    <xf numFmtId="0" fontId="28" fillId="2" borderId="4" xfId="0" applyFont="1" applyFill="1" applyBorder="1" applyProtection="1">
      <protection locked="0"/>
    </xf>
    <xf numFmtId="0" fontId="28" fillId="2" borderId="5" xfId="0" applyFont="1" applyFill="1" applyBorder="1" applyProtection="1">
      <protection locked="0"/>
    </xf>
    <xf numFmtId="0" fontId="49" fillId="4" borderId="39" xfId="0" applyFont="1" applyFill="1" applyBorder="1" applyAlignment="1" applyProtection="1">
      <alignment vertical="center" wrapText="1"/>
      <protection locked="0"/>
    </xf>
    <xf numFmtId="0" fontId="49" fillId="4" borderId="13" xfId="0" applyFont="1" applyFill="1" applyBorder="1" applyAlignment="1" applyProtection="1">
      <alignment vertical="center" wrapText="1"/>
      <protection locked="0"/>
    </xf>
    <xf numFmtId="0" fontId="49" fillId="4" borderId="40" xfId="0" applyFont="1" applyFill="1" applyBorder="1" applyAlignment="1" applyProtection="1">
      <alignment vertical="center" wrapText="1"/>
      <protection locked="0"/>
    </xf>
    <xf numFmtId="0" fontId="49" fillId="4" borderId="41" xfId="0" applyFont="1" applyFill="1" applyBorder="1" applyAlignment="1" applyProtection="1">
      <alignment vertical="center" wrapText="1"/>
      <protection locked="0"/>
    </xf>
    <xf numFmtId="0" fontId="49" fillId="4" borderId="33" xfId="0" applyFont="1" applyFill="1" applyBorder="1" applyAlignment="1" applyProtection="1">
      <alignment vertical="center" wrapText="1"/>
      <protection locked="0"/>
    </xf>
    <xf numFmtId="0" fontId="49" fillId="4" borderId="42" xfId="0" applyFont="1" applyFill="1" applyBorder="1" applyAlignment="1" applyProtection="1">
      <alignment vertical="center" wrapText="1"/>
      <protection locked="0"/>
    </xf>
    <xf numFmtId="0" fontId="49" fillId="4" borderId="43" xfId="0" applyFont="1" applyFill="1" applyBorder="1" applyAlignment="1" applyProtection="1">
      <alignment vertical="center" wrapText="1"/>
      <protection locked="0"/>
    </xf>
    <xf numFmtId="0" fontId="8" fillId="4" borderId="0" xfId="0" applyFont="1" applyFill="1" applyProtection="1"/>
    <xf numFmtId="0" fontId="39" fillId="4" borderId="0" xfId="0" applyFont="1" applyFill="1" applyProtection="1"/>
    <xf numFmtId="0" fontId="59" fillId="4" borderId="0" xfId="0" applyFont="1" applyFill="1" applyProtection="1"/>
    <xf numFmtId="0" fontId="60" fillId="0" borderId="0" xfId="0" applyFont="1" applyProtection="1"/>
    <xf numFmtId="0" fontId="68" fillId="4" borderId="0" xfId="0" quotePrefix="1" applyFont="1" applyFill="1" applyAlignment="1" applyProtection="1">
      <alignment horizontal="centerContinuous"/>
    </xf>
    <xf numFmtId="0" fontId="40" fillId="4" borderId="0" xfId="0" applyFont="1" applyFill="1" applyAlignment="1" applyProtection="1">
      <alignment horizontal="centerContinuous"/>
    </xf>
    <xf numFmtId="0" fontId="1" fillId="4" borderId="0" xfId="0" applyFont="1" applyFill="1" applyAlignment="1" applyProtection="1">
      <alignment horizontal="centerContinuous"/>
    </xf>
    <xf numFmtId="0" fontId="5" fillId="4" borderId="0" xfId="0" applyFont="1" applyFill="1" applyAlignment="1" applyProtection="1">
      <alignment horizontal="centerContinuous"/>
    </xf>
    <xf numFmtId="0" fontId="68" fillId="0" borderId="0" xfId="0" quotePrefix="1" applyFont="1" applyAlignment="1" applyProtection="1">
      <alignment horizontal="centerContinuous"/>
    </xf>
    <xf numFmtId="0" fontId="1" fillId="0" borderId="0" xfId="0" applyFont="1" applyAlignment="1" applyProtection="1">
      <alignment horizontal="centerContinuous"/>
    </xf>
    <xf numFmtId="0" fontId="5" fillId="0" borderId="0" xfId="0" applyFont="1" applyAlignment="1" applyProtection="1">
      <alignment horizontal="centerContinuous"/>
    </xf>
    <xf numFmtId="0" fontId="58" fillId="4" borderId="0" xfId="0" applyFont="1" applyFill="1" applyAlignment="1" applyProtection="1">
      <alignment horizontal="centerContinuous"/>
    </xf>
    <xf numFmtId="0" fontId="80" fillId="0" borderId="0" xfId="0" applyFont="1" applyAlignment="1" applyProtection="1">
      <alignment horizontal="centerContinuous"/>
    </xf>
    <xf numFmtId="0" fontId="58" fillId="0" borderId="0" xfId="0" applyFont="1" applyAlignment="1" applyProtection="1">
      <alignment horizontal="centerContinuous"/>
    </xf>
    <xf numFmtId="0" fontId="66" fillId="4" borderId="0" xfId="0" applyFont="1" applyFill="1" applyProtection="1"/>
    <xf numFmtId="0" fontId="61" fillId="4" borderId="0" xfId="0" applyFont="1" applyFill="1" applyProtection="1"/>
    <xf numFmtId="0" fontId="61" fillId="0" borderId="0" xfId="0" applyFont="1" applyProtection="1"/>
    <xf numFmtId="0" fontId="8" fillId="0" borderId="0" xfId="0" applyFont="1" applyProtection="1"/>
    <xf numFmtId="0" fontId="59" fillId="0" borderId="0" xfId="0" applyFont="1" applyAlignment="1" applyProtection="1">
      <alignment horizontal="right"/>
    </xf>
    <xf numFmtId="0" fontId="83" fillId="8" borderId="16" xfId="0" applyFont="1" applyFill="1" applyBorder="1" applyAlignment="1" applyProtection="1">
      <alignment horizontal="centerContinuous"/>
    </xf>
    <xf numFmtId="0" fontId="88" fillId="8" borderId="16" xfId="0" applyFont="1" applyFill="1" applyBorder="1" applyAlignment="1" applyProtection="1">
      <alignment horizontal="centerContinuous"/>
    </xf>
    <xf numFmtId="0" fontId="88" fillId="8" borderId="17" xfId="0" applyFont="1" applyFill="1" applyBorder="1" applyAlignment="1" applyProtection="1">
      <alignment horizontal="centerContinuous"/>
    </xf>
    <xf numFmtId="0" fontId="88" fillId="0" borderId="0" xfId="0" applyFont="1" applyProtection="1"/>
    <xf numFmtId="0" fontId="84" fillId="8" borderId="15" xfId="0" applyFont="1" applyFill="1" applyBorder="1" applyAlignment="1" applyProtection="1">
      <alignment horizontal="centerContinuous"/>
    </xf>
    <xf numFmtId="0" fontId="61" fillId="4" borderId="20" xfId="0" applyFont="1" applyFill="1" applyBorder="1" applyProtection="1"/>
    <xf numFmtId="0" fontId="49" fillId="8" borderId="0" xfId="0" applyFont="1" applyFill="1" applyProtection="1"/>
    <xf numFmtId="0" fontId="55" fillId="8" borderId="0" xfId="0" applyFont="1" applyFill="1" applyProtection="1"/>
    <xf numFmtId="0" fontId="55" fillId="8" borderId="20" xfId="0" applyFont="1" applyFill="1" applyBorder="1" applyProtection="1"/>
    <xf numFmtId="0" fontId="55" fillId="0" borderId="0" xfId="0" applyFont="1" applyProtection="1"/>
    <xf numFmtId="0" fontId="49" fillId="8" borderId="18" xfId="0" applyFont="1" applyFill="1" applyBorder="1" applyProtection="1"/>
    <xf numFmtId="0" fontId="40" fillId="4" borderId="18" xfId="0" applyFont="1" applyFill="1" applyBorder="1" applyProtection="1"/>
    <xf numFmtId="0" fontId="7" fillId="4" borderId="0" xfId="0" applyFont="1" applyFill="1" applyProtection="1"/>
    <xf numFmtId="0" fontId="3" fillId="4" borderId="0" xfId="0" applyFont="1" applyFill="1" applyProtection="1"/>
    <xf numFmtId="0" fontId="78" fillId="4" borderId="0" xfId="0" applyFont="1" applyFill="1" applyAlignment="1" applyProtection="1">
      <alignment horizontal="center"/>
    </xf>
    <xf numFmtId="0" fontId="3" fillId="4" borderId="20" xfId="0" applyFont="1" applyFill="1" applyBorder="1" applyProtection="1"/>
    <xf numFmtId="0" fontId="83" fillId="8" borderId="0" xfId="0" applyFont="1" applyFill="1" applyBorder="1" applyProtection="1"/>
    <xf numFmtId="0" fontId="55" fillId="8" borderId="0" xfId="0" applyFont="1" applyFill="1" applyAlignment="1" applyProtection="1"/>
    <xf numFmtId="0" fontId="88" fillId="0" borderId="0" xfId="0" applyFont="1" applyAlignment="1" applyProtection="1">
      <alignment horizontal="center"/>
    </xf>
    <xf numFmtId="0" fontId="2" fillId="4" borderId="18" xfId="0" applyFont="1" applyFill="1" applyBorder="1" applyProtection="1"/>
    <xf numFmtId="0" fontId="2" fillId="4" borderId="0" xfId="0" applyFont="1" applyFill="1" applyProtection="1"/>
    <xf numFmtId="0" fontId="62" fillId="4" borderId="0" xfId="0" applyFont="1" applyFill="1" applyProtection="1"/>
    <xf numFmtId="0" fontId="42" fillId="4" borderId="0" xfId="0" applyFont="1" applyFill="1" applyProtection="1"/>
    <xf numFmtId="0" fontId="62" fillId="4" borderId="20" xfId="0" applyFont="1" applyFill="1" applyBorder="1" applyProtection="1"/>
    <xf numFmtId="0" fontId="57" fillId="0" borderId="0" xfId="0" applyFont="1" applyProtection="1"/>
    <xf numFmtId="0" fontId="49" fillId="8" borderId="0" xfId="0" applyFont="1" applyFill="1" applyBorder="1" applyAlignment="1" applyProtection="1">
      <alignment horizontal="center"/>
    </xf>
    <xf numFmtId="0" fontId="88" fillId="8" borderId="0" xfId="0" applyFont="1" applyFill="1" applyAlignment="1" applyProtection="1">
      <alignment horizontal="left"/>
    </xf>
    <xf numFmtId="174" fontId="102" fillId="9" borderId="0" xfId="1" applyNumberFormat="1" applyFont="1" applyFill="1" applyAlignment="1" applyProtection="1"/>
    <xf numFmtId="0" fontId="103" fillId="8" borderId="0" xfId="0" applyFont="1" applyFill="1" applyAlignment="1" applyProtection="1">
      <alignment horizontal="center"/>
    </xf>
    <xf numFmtId="0" fontId="103" fillId="0" borderId="0" xfId="0" applyFont="1" applyAlignment="1" applyProtection="1">
      <alignment horizontal="center"/>
    </xf>
    <xf numFmtId="10" fontId="102" fillId="9" borderId="0" xfId="4" applyNumberFormat="1" applyFont="1" applyFill="1" applyAlignment="1" applyProtection="1"/>
    <xf numFmtId="3" fontId="88" fillId="8" borderId="0" xfId="0" applyNumberFormat="1" applyFont="1" applyFill="1" applyAlignment="1" applyProtection="1"/>
    <xf numFmtId="0" fontId="42" fillId="4" borderId="20" xfId="0" applyFont="1" applyFill="1" applyBorder="1" applyProtection="1"/>
    <xf numFmtId="166" fontId="88" fillId="8" borderId="0" xfId="0" applyNumberFormat="1" applyFont="1" applyFill="1" applyProtection="1"/>
    <xf numFmtId="10" fontId="88" fillId="8" borderId="0" xfId="0" applyNumberFormat="1" applyFont="1" applyFill="1" applyAlignment="1" applyProtection="1"/>
    <xf numFmtId="0" fontId="104" fillId="8" borderId="0" xfId="0" applyFont="1" applyFill="1" applyAlignment="1" applyProtection="1"/>
    <xf numFmtId="0" fontId="105" fillId="9" borderId="0" xfId="0" applyFont="1" applyFill="1" applyAlignment="1" applyProtection="1"/>
    <xf numFmtId="4" fontId="88" fillId="8" borderId="0" xfId="0" applyNumberFormat="1" applyFont="1" applyFill="1" applyAlignment="1" applyProtection="1"/>
    <xf numFmtId="5" fontId="3" fillId="4" borderId="0" xfId="0" applyNumberFormat="1" applyFont="1" applyFill="1" applyProtection="1"/>
    <xf numFmtId="0" fontId="102" fillId="10" borderId="13" xfId="0" applyFont="1" applyFill="1" applyBorder="1" applyAlignment="1" applyProtection="1">
      <alignment horizontal="center"/>
    </xf>
    <xf numFmtId="0" fontId="55" fillId="0" borderId="0" xfId="0" applyFont="1" applyAlignment="1" applyProtection="1"/>
    <xf numFmtId="0" fontId="57" fillId="8" borderId="0" xfId="0" applyFont="1" applyFill="1" applyProtection="1"/>
    <xf numFmtId="166" fontId="62" fillId="4" borderId="20" xfId="0" applyNumberFormat="1" applyFont="1" applyFill="1" applyBorder="1" applyProtection="1"/>
    <xf numFmtId="0" fontId="88" fillId="8" borderId="0" xfId="0" applyFont="1" applyFill="1" applyAlignment="1" applyProtection="1">
      <alignment horizontal="right"/>
    </xf>
    <xf numFmtId="0" fontId="0" fillId="4" borderId="20" xfId="0" applyFill="1" applyBorder="1" applyProtection="1"/>
    <xf numFmtId="1" fontId="88" fillId="8" borderId="0" xfId="0" applyNumberFormat="1" applyFont="1" applyFill="1" applyAlignment="1" applyProtection="1"/>
    <xf numFmtId="174" fontId="88" fillId="8" borderId="0" xfId="1" applyNumberFormat="1" applyFont="1" applyFill="1" applyAlignment="1" applyProtection="1">
      <alignment horizontal="center"/>
    </xf>
    <xf numFmtId="37" fontId="78" fillId="4" borderId="0" xfId="0" applyNumberFormat="1" applyFont="1" applyFill="1" applyAlignment="1" applyProtection="1">
      <alignment horizontal="center"/>
    </xf>
    <xf numFmtId="0" fontId="14" fillId="4" borderId="20" xfId="0" applyFont="1" applyFill="1" applyBorder="1" applyProtection="1"/>
    <xf numFmtId="0" fontId="2" fillId="4" borderId="20" xfId="0" applyFont="1" applyFill="1" applyBorder="1" applyProtection="1"/>
    <xf numFmtId="0" fontId="49" fillId="0" borderId="0" xfId="0" applyFont="1" applyProtection="1"/>
    <xf numFmtId="5" fontId="2" fillId="4" borderId="0" xfId="0" applyNumberFormat="1" applyFont="1" applyFill="1" applyProtection="1"/>
    <xf numFmtId="10" fontId="2" fillId="4" borderId="0" xfId="0" applyNumberFormat="1" applyFont="1" applyFill="1" applyProtection="1"/>
    <xf numFmtId="0" fontId="40" fillId="4" borderId="20" xfId="0" applyFont="1" applyFill="1" applyBorder="1" applyProtection="1"/>
    <xf numFmtId="174" fontId="88" fillId="0" borderId="0" xfId="1" applyNumberFormat="1" applyFont="1" applyAlignment="1" applyProtection="1">
      <alignment horizontal="center"/>
    </xf>
    <xf numFmtId="37" fontId="0" fillId="4" borderId="0" xfId="0" applyNumberFormat="1" applyFill="1" applyProtection="1"/>
    <xf numFmtId="10" fontId="0" fillId="4" borderId="0" xfId="0" applyNumberFormat="1" applyFill="1" applyProtection="1"/>
    <xf numFmtId="166" fontId="0" fillId="4" borderId="20" xfId="0" applyNumberFormat="1" applyFill="1" applyBorder="1" applyProtection="1"/>
    <xf numFmtId="10" fontId="78" fillId="4" borderId="0" xfId="0" applyNumberFormat="1" applyFont="1" applyFill="1" applyAlignment="1" applyProtection="1">
      <alignment horizontal="center"/>
    </xf>
    <xf numFmtId="164" fontId="3" fillId="4" borderId="20" xfId="0" applyNumberFormat="1" applyFont="1" applyFill="1" applyBorder="1" applyProtection="1"/>
    <xf numFmtId="166" fontId="2" fillId="4" borderId="0" xfId="0" applyNumberFormat="1" applyFont="1" applyFill="1" applyProtection="1"/>
    <xf numFmtId="164" fontId="2" fillId="4" borderId="20" xfId="0" applyNumberFormat="1" applyFont="1" applyFill="1" applyBorder="1" applyProtection="1"/>
    <xf numFmtId="5" fontId="0" fillId="4" borderId="0" xfId="0" applyNumberFormat="1" applyFill="1" applyProtection="1"/>
    <xf numFmtId="0" fontId="40" fillId="4" borderId="8" xfId="0" applyFont="1" applyFill="1" applyBorder="1" applyProtection="1"/>
    <xf numFmtId="0" fontId="40" fillId="4" borderId="9" xfId="0" applyFont="1" applyFill="1" applyBorder="1" applyProtection="1"/>
    <xf numFmtId="0" fontId="0" fillId="4" borderId="9" xfId="0" applyFill="1" applyBorder="1" applyProtection="1"/>
    <xf numFmtId="0" fontId="0" fillId="4" borderId="10" xfId="0" applyFill="1" applyBorder="1" applyProtection="1"/>
    <xf numFmtId="0" fontId="56" fillId="0" borderId="0" xfId="0" applyFont="1" applyProtection="1"/>
    <xf numFmtId="0" fontId="48" fillId="0" borderId="0" xfId="0" applyFont="1" applyProtection="1"/>
    <xf numFmtId="0" fontId="22" fillId="4" borderId="16" xfId="0" applyFont="1" applyFill="1" applyBorder="1" applyAlignment="1" applyProtection="1">
      <alignment horizontal="centerContinuous"/>
    </xf>
    <xf numFmtId="0" fontId="0" fillId="4" borderId="16" xfId="0" applyFill="1" applyBorder="1" applyAlignment="1" applyProtection="1">
      <alignment horizontal="centerContinuous"/>
    </xf>
    <xf numFmtId="0" fontId="0" fillId="4" borderId="17" xfId="0" applyFill="1" applyBorder="1" applyAlignment="1" applyProtection="1">
      <alignment horizontal="centerContinuous"/>
    </xf>
    <xf numFmtId="0" fontId="79" fillId="4" borderId="0" xfId="0" applyFont="1" applyFill="1" applyAlignment="1" applyProtection="1"/>
    <xf numFmtId="164" fontId="55" fillId="9" borderId="9" xfId="0" applyNumberFormat="1" applyFont="1" applyFill="1" applyBorder="1" applyProtection="1"/>
    <xf numFmtId="164" fontId="55" fillId="9" borderId="10" xfId="0" applyNumberFormat="1" applyFont="1" applyFill="1" applyBorder="1" applyProtection="1"/>
    <xf numFmtId="164" fontId="55" fillId="9" borderId="8" xfId="0" applyNumberFormat="1" applyFont="1" applyFill="1" applyBorder="1" applyProtection="1"/>
    <xf numFmtId="0" fontId="79" fillId="4" borderId="0" xfId="0" applyFont="1" applyFill="1" applyAlignment="1" applyProtection="1">
      <alignment vertical="top"/>
    </xf>
    <xf numFmtId="0" fontId="81" fillId="0" borderId="0" xfId="0" applyFont="1" applyProtection="1"/>
    <xf numFmtId="0" fontId="52" fillId="0" borderId="0" xfId="0" applyFont="1" applyProtection="1"/>
    <xf numFmtId="0" fontId="77" fillId="0" borderId="0" xfId="0" applyFont="1" applyProtection="1"/>
    <xf numFmtId="0" fontId="0" fillId="4" borderId="0" xfId="0" applyFill="1" applyAlignment="1" applyProtection="1">
      <alignment horizontal="centerContinuous" vertical="top"/>
    </xf>
    <xf numFmtId="0" fontId="8" fillId="4" borderId="0" xfId="0" applyFont="1" applyFill="1" applyAlignment="1" applyProtection="1">
      <alignment horizontal="centerContinuous"/>
    </xf>
    <xf numFmtId="0" fontId="8" fillId="4" borderId="20" xfId="0" applyFont="1" applyFill="1" applyBorder="1" applyProtection="1"/>
    <xf numFmtId="0" fontId="2" fillId="4" borderId="26" xfId="0" applyFont="1" applyFill="1" applyBorder="1" applyProtection="1"/>
    <xf numFmtId="0" fontId="40" fillId="4" borderId="27" xfId="0" applyFont="1" applyFill="1" applyBorder="1" applyProtection="1"/>
    <xf numFmtId="0" fontId="4" fillId="4" borderId="27" xfId="0" applyFont="1" applyFill="1" applyBorder="1" applyProtection="1"/>
    <xf numFmtId="0" fontId="0" fillId="4" borderId="27" xfId="0" applyFill="1" applyBorder="1" applyProtection="1"/>
    <xf numFmtId="0" fontId="0" fillId="4" borderId="28" xfId="0" applyFill="1" applyBorder="1" applyProtection="1"/>
    <xf numFmtId="37" fontId="2" fillId="4" borderId="0" xfId="0" applyNumberFormat="1" applyFont="1" applyFill="1" applyAlignment="1" applyProtection="1">
      <alignment horizontal="centerContinuous"/>
    </xf>
    <xf numFmtId="37" fontId="2" fillId="4" borderId="0" xfId="0" applyNumberFormat="1" applyFont="1" applyFill="1" applyProtection="1"/>
    <xf numFmtId="0" fontId="63" fillId="4" borderId="0" xfId="0" applyFont="1" applyFill="1" applyProtection="1"/>
    <xf numFmtId="0" fontId="45" fillId="4" borderId="20" xfId="0" applyFont="1" applyFill="1" applyBorder="1" applyProtection="1"/>
    <xf numFmtId="0" fontId="2" fillId="4" borderId="8" xfId="0" applyFont="1" applyFill="1" applyBorder="1" applyProtection="1"/>
    <xf numFmtId="5" fontId="0" fillId="4" borderId="9" xfId="0" applyNumberFormat="1" applyFill="1" applyBorder="1" applyProtection="1"/>
    <xf numFmtId="5" fontId="0" fillId="4" borderId="27" xfId="0" applyNumberFormat="1" applyFill="1" applyBorder="1" applyProtection="1"/>
    <xf numFmtId="5" fontId="9" fillId="4" borderId="0" xfId="0" applyNumberFormat="1" applyFont="1" applyFill="1" applyAlignment="1" applyProtection="1">
      <alignment horizontal="center"/>
    </xf>
    <xf numFmtId="0" fontId="40" fillId="4" borderId="21" xfId="0" applyFont="1" applyFill="1" applyBorder="1" applyProtection="1"/>
    <xf numFmtId="0" fontId="2" fillId="4" borderId="21" xfId="0" applyFont="1" applyFill="1" applyBorder="1" applyProtection="1"/>
    <xf numFmtId="0" fontId="94" fillId="4" borderId="0" xfId="0" applyFont="1" applyFill="1" applyProtection="1"/>
    <xf numFmtId="0" fontId="49" fillId="4" borderId="21" xfId="0" applyFont="1" applyFill="1" applyBorder="1" applyProtection="1"/>
    <xf numFmtId="0" fontId="49" fillId="4" borderId="13" xfId="0" applyFont="1" applyFill="1" applyBorder="1" applyProtection="1"/>
    <xf numFmtId="0" fontId="77" fillId="4" borderId="13" xfId="0" applyFont="1" applyFill="1" applyBorder="1" applyProtection="1"/>
    <xf numFmtId="0" fontId="55" fillId="4" borderId="13" xfId="0" applyFont="1" applyFill="1" applyBorder="1" applyProtection="1"/>
    <xf numFmtId="0" fontId="55" fillId="4" borderId="44" xfId="0" applyFont="1" applyFill="1" applyBorder="1" applyAlignment="1" applyProtection="1">
      <alignment horizontal="center"/>
    </xf>
    <xf numFmtId="0" fontId="55" fillId="4" borderId="41" xfId="0" applyFont="1" applyFill="1" applyBorder="1" applyAlignment="1" applyProtection="1">
      <alignment horizontal="center"/>
    </xf>
    <xf numFmtId="0" fontId="55" fillId="4" borderId="13" xfId="0" applyFont="1" applyFill="1" applyBorder="1" applyAlignment="1" applyProtection="1">
      <alignment horizontal="center"/>
    </xf>
    <xf numFmtId="0" fontId="55" fillId="4" borderId="20" xfId="0" applyFont="1" applyFill="1" applyBorder="1" applyProtection="1"/>
    <xf numFmtId="0" fontId="49" fillId="4" borderId="21" xfId="0" applyFont="1" applyFill="1" applyBorder="1" applyAlignment="1" applyProtection="1">
      <alignment vertical="center"/>
    </xf>
    <xf numFmtId="0" fontId="49" fillId="4" borderId="13" xfId="0" applyFont="1" applyFill="1" applyBorder="1" applyAlignment="1" applyProtection="1">
      <alignment vertical="center"/>
    </xf>
    <xf numFmtId="0" fontId="65" fillId="0" borderId="0" xfId="0" applyFont="1" applyProtection="1"/>
    <xf numFmtId="0" fontId="49" fillId="4" borderId="41" xfId="0" applyFont="1" applyFill="1" applyBorder="1" applyAlignment="1" applyProtection="1">
      <alignment vertical="center"/>
    </xf>
    <xf numFmtId="0" fontId="65" fillId="0" borderId="0" xfId="0" applyFont="1" applyFill="1" applyProtection="1"/>
    <xf numFmtId="0" fontId="42" fillId="0" borderId="0" xfId="0" applyFont="1" applyFill="1" applyProtection="1"/>
    <xf numFmtId="0" fontId="49" fillId="4" borderId="0" xfId="0" applyFont="1" applyFill="1" applyProtection="1"/>
    <xf numFmtId="0" fontId="88" fillId="4" borderId="0" xfId="0" applyFont="1" applyFill="1" applyProtection="1"/>
    <xf numFmtId="0" fontId="88" fillId="4" borderId="20" xfId="0" applyFont="1" applyFill="1" applyBorder="1" applyProtection="1"/>
    <xf numFmtId="0" fontId="49" fillId="4" borderId="18" xfId="0" applyFont="1" applyFill="1" applyBorder="1" applyProtection="1"/>
    <xf numFmtId="0" fontId="3" fillId="4" borderId="0" xfId="0" applyFont="1" applyFill="1" applyBorder="1" applyProtection="1"/>
    <xf numFmtId="0" fontId="39" fillId="4" borderId="0" xfId="0" applyFont="1" applyFill="1" applyBorder="1" applyProtection="1"/>
    <xf numFmtId="0" fontId="64" fillId="4" borderId="0" xfId="0" applyFont="1" applyFill="1" applyProtection="1"/>
    <xf numFmtId="0" fontId="64" fillId="4" borderId="20" xfId="0" applyFont="1" applyFill="1" applyBorder="1" applyProtection="1"/>
    <xf numFmtId="0" fontId="2" fillId="4" borderId="9" xfId="0" applyFont="1" applyFill="1" applyBorder="1" applyProtection="1"/>
    <xf numFmtId="0" fontId="64" fillId="4" borderId="9" xfId="0" applyFont="1" applyFill="1" applyBorder="1" applyProtection="1"/>
    <xf numFmtId="0" fontId="64" fillId="4" borderId="10" xfId="0" applyFont="1" applyFill="1" applyBorder="1" applyProtection="1"/>
    <xf numFmtId="14" fontId="48" fillId="4" borderId="0" xfId="0" applyNumberFormat="1" applyFont="1" applyFill="1" applyProtection="1"/>
    <xf numFmtId="1" fontId="39" fillId="0" borderId="0" xfId="0" applyNumberFormat="1" applyFont="1" applyProtection="1"/>
    <xf numFmtId="0" fontId="23" fillId="4" borderId="0" xfId="0" applyFont="1" applyFill="1" applyAlignment="1" applyProtection="1">
      <alignment horizontal="centerContinuous"/>
    </xf>
    <xf numFmtId="0" fontId="24" fillId="4" borderId="0" xfId="0" applyFont="1" applyFill="1" applyAlignment="1" applyProtection="1">
      <alignment horizontal="centerContinuous"/>
    </xf>
    <xf numFmtId="1" fontId="0" fillId="0" borderId="0" xfId="0" applyNumberFormat="1" applyProtection="1"/>
    <xf numFmtId="0" fontId="26" fillId="0" borderId="0" xfId="0" applyFont="1" applyProtection="1"/>
    <xf numFmtId="0" fontId="15" fillId="4" borderId="0" xfId="0" applyFont="1" applyFill="1" applyAlignment="1" applyProtection="1">
      <alignment horizontal="centerContinuous"/>
    </xf>
    <xf numFmtId="0" fontId="53" fillId="4" borderId="15" xfId="0" applyFont="1" applyFill="1" applyBorder="1" applyAlignment="1" applyProtection="1">
      <alignment horizontal="centerContinuous"/>
    </xf>
    <xf numFmtId="0" fontId="25" fillId="4" borderId="16" xfId="0" applyFont="1" applyFill="1" applyBorder="1" applyAlignment="1" applyProtection="1">
      <alignment horizontal="centerContinuous"/>
    </xf>
    <xf numFmtId="0" fontId="19" fillId="0" borderId="45" xfId="0" applyFont="1" applyBorder="1" applyAlignment="1" applyProtection="1">
      <alignment horizontal="centerContinuous"/>
    </xf>
    <xf numFmtId="0" fontId="19" fillId="0" borderId="46" xfId="0" applyFont="1" applyBorder="1" applyAlignment="1" applyProtection="1">
      <alignment horizontal="centerContinuous"/>
    </xf>
    <xf numFmtId="0" fontId="17" fillId="0" borderId="46" xfId="0" applyFont="1" applyBorder="1" applyAlignment="1" applyProtection="1">
      <alignment horizontal="centerContinuous"/>
    </xf>
    <xf numFmtId="0" fontId="19" fillId="0" borderId="47" xfId="0" applyFont="1" applyBorder="1" applyAlignment="1" applyProtection="1">
      <alignment horizontal="centerContinuous"/>
    </xf>
    <xf numFmtId="0" fontId="19" fillId="0" borderId="0" xfId="0" applyFont="1" applyAlignment="1" applyProtection="1">
      <alignment horizontal="center"/>
    </xf>
    <xf numFmtId="0" fontId="0" fillId="0" borderId="0" xfId="0" applyAlignment="1" applyProtection="1">
      <alignment horizontal="center"/>
    </xf>
    <xf numFmtId="0" fontId="32" fillId="4" borderId="0" xfId="0" applyFont="1" applyFill="1" applyProtection="1"/>
    <xf numFmtId="9" fontId="18" fillId="0" borderId="48" xfId="0" applyNumberFormat="1" applyFont="1" applyBorder="1" applyProtection="1"/>
    <xf numFmtId="9" fontId="18" fillId="0" borderId="49" xfId="0" applyNumberFormat="1" applyFont="1" applyBorder="1" applyProtection="1"/>
    <xf numFmtId="9" fontId="18" fillId="0" borderId="31" xfId="0" applyNumberFormat="1" applyFont="1" applyBorder="1" applyProtection="1"/>
    <xf numFmtId="5" fontId="17" fillId="0" borderId="50" xfId="0" applyNumberFormat="1" applyFont="1" applyBorder="1" applyProtection="1"/>
    <xf numFmtId="5" fontId="17" fillId="0" borderId="1" xfId="0" applyNumberFormat="1" applyFont="1" applyBorder="1" applyProtection="1"/>
    <xf numFmtId="5" fontId="17" fillId="0" borderId="51" xfId="0" applyNumberFormat="1" applyFont="1" applyBorder="1" applyProtection="1"/>
    <xf numFmtId="0" fontId="41" fillId="4" borderId="52" xfId="0" applyFont="1" applyFill="1" applyBorder="1" applyProtection="1"/>
    <xf numFmtId="0" fontId="41" fillId="4" borderId="29" xfId="0" applyFont="1" applyFill="1" applyBorder="1" applyProtection="1"/>
    <xf numFmtId="166" fontId="41" fillId="4" borderId="1" xfId="0" applyNumberFormat="1" applyFont="1" applyFill="1" applyBorder="1" applyProtection="1"/>
    <xf numFmtId="22" fontId="42" fillId="0" borderId="0" xfId="0" applyNumberFormat="1" applyFont="1" applyProtection="1"/>
    <xf numFmtId="1" fontId="42" fillId="0" borderId="0" xfId="0" applyNumberFormat="1" applyFont="1" applyProtection="1"/>
    <xf numFmtId="5" fontId="41" fillId="0" borderId="50" xfId="0" applyNumberFormat="1" applyFont="1" applyBorder="1" applyProtection="1"/>
    <xf numFmtId="5" fontId="41" fillId="0" borderId="1" xfId="0" applyNumberFormat="1" applyFont="1" applyBorder="1" applyProtection="1"/>
    <xf numFmtId="5" fontId="41" fillId="0" borderId="51" xfId="0" applyNumberFormat="1" applyFont="1" applyBorder="1" applyProtection="1"/>
    <xf numFmtId="5" fontId="41" fillId="0" borderId="53" xfId="0" applyNumberFormat="1" applyFont="1" applyBorder="1" applyProtection="1"/>
    <xf numFmtId="5" fontId="41" fillId="0" borderId="54" xfId="0" applyNumberFormat="1" applyFont="1" applyBorder="1" applyProtection="1"/>
    <xf numFmtId="5" fontId="41" fillId="0" borderId="55" xfId="0" applyNumberFormat="1" applyFont="1" applyBorder="1" applyProtection="1"/>
    <xf numFmtId="165" fontId="66" fillId="0" borderId="0" xfId="0" applyNumberFormat="1" applyFont="1" applyProtection="1"/>
    <xf numFmtId="0" fontId="41" fillId="0" borderId="0" xfId="0" applyFont="1" applyProtection="1"/>
    <xf numFmtId="5" fontId="31" fillId="4" borderId="0" xfId="0" applyNumberFormat="1" applyFont="1" applyFill="1" applyProtection="1"/>
    <xf numFmtId="0" fontId="2" fillId="0" borderId="0" xfId="0" applyFont="1" applyProtection="1"/>
    <xf numFmtId="1" fontId="2" fillId="0" borderId="0" xfId="0" applyNumberFormat="1" applyFont="1" applyProtection="1"/>
    <xf numFmtId="0" fontId="0" fillId="11" borderId="0" xfId="0" applyFill="1" applyAlignment="1" applyProtection="1">
      <alignment wrapText="1"/>
    </xf>
    <xf numFmtId="0" fontId="93" fillId="0" borderId="0" xfId="0" applyFont="1" applyAlignment="1" applyProtection="1">
      <alignment wrapText="1"/>
    </xf>
    <xf numFmtId="0" fontId="0" fillId="0" borderId="0" xfId="0" applyAlignment="1" applyProtection="1"/>
    <xf numFmtId="0" fontId="95" fillId="0" borderId="56" xfId="0" applyFont="1" applyBorder="1" applyProtection="1"/>
    <xf numFmtId="5" fontId="17" fillId="4" borderId="0" xfId="0" applyNumberFormat="1" applyFont="1" applyFill="1" applyProtection="1"/>
    <xf numFmtId="5" fontId="17" fillId="4" borderId="0" xfId="0" applyNumberFormat="1" applyFont="1" applyFill="1" applyAlignment="1" applyProtection="1">
      <alignment horizontal="right"/>
    </xf>
    <xf numFmtId="164" fontId="28" fillId="4" borderId="20" xfId="0" applyNumberFormat="1" applyFont="1" applyFill="1" applyBorder="1" applyProtection="1"/>
    <xf numFmtId="0" fontId="0" fillId="0" borderId="0" xfId="0" applyAlignment="1" applyProtection="1">
      <alignment wrapText="1"/>
    </xf>
    <xf numFmtId="5" fontId="42" fillId="0" borderId="0" xfId="0" applyNumberFormat="1" applyFont="1" applyProtection="1"/>
    <xf numFmtId="14" fontId="42" fillId="0" borderId="0" xfId="0" applyNumberFormat="1" applyFont="1" applyProtection="1"/>
    <xf numFmtId="164" fontId="28" fillId="4" borderId="0" xfId="0" applyNumberFormat="1" applyFont="1" applyFill="1" applyProtection="1"/>
    <xf numFmtId="5" fontId="28" fillId="4" borderId="0" xfId="0" applyNumberFormat="1" applyFont="1" applyFill="1" applyProtection="1"/>
    <xf numFmtId="5" fontId="28" fillId="4" borderId="0" xfId="0" applyNumberFormat="1" applyFont="1" applyFill="1" applyAlignment="1" applyProtection="1">
      <alignment horizontal="right"/>
    </xf>
    <xf numFmtId="5" fontId="41" fillId="4" borderId="0" xfId="0" applyNumberFormat="1" applyFont="1" applyFill="1" applyProtection="1"/>
    <xf numFmtId="0" fontId="31" fillId="4" borderId="0" xfId="0" applyFont="1" applyFill="1" applyBorder="1" applyAlignment="1" applyProtection="1">
      <alignment horizontal="center"/>
    </xf>
    <xf numFmtId="164" fontId="17" fillId="4" borderId="20" xfId="0" applyNumberFormat="1" applyFont="1" applyFill="1" applyBorder="1" applyProtection="1"/>
    <xf numFmtId="5" fontId="17" fillId="3" borderId="1" xfId="0" applyNumberFormat="1" applyFont="1" applyFill="1" applyBorder="1" applyProtection="1"/>
    <xf numFmtId="0" fontId="28" fillId="4" borderId="0" xfId="0" applyFont="1" applyFill="1" applyAlignment="1" applyProtection="1">
      <alignment horizontal="center"/>
    </xf>
    <xf numFmtId="0" fontId="52" fillId="4" borderId="0" xfId="0" applyFont="1" applyFill="1" applyProtection="1"/>
    <xf numFmtId="1" fontId="45" fillId="0" borderId="0" xfId="0" applyNumberFormat="1" applyFont="1" applyProtection="1"/>
    <xf numFmtId="0" fontId="32" fillId="4" borderId="27" xfId="0" applyFont="1" applyFill="1" applyBorder="1" applyProtection="1"/>
    <xf numFmtId="0" fontId="57" fillId="4" borderId="0" xfId="0" applyFont="1" applyFill="1" applyAlignment="1" applyProtection="1">
      <alignment horizontal="left"/>
    </xf>
    <xf numFmtId="0" fontId="57" fillId="4" borderId="0" xfId="0" applyFont="1" applyFill="1" applyAlignment="1" applyProtection="1">
      <alignment horizontal="right"/>
    </xf>
    <xf numFmtId="167" fontId="0" fillId="0" borderId="0" xfId="0" applyNumberFormat="1" applyProtection="1"/>
    <xf numFmtId="0" fontId="11" fillId="4" borderId="52" xfId="0" applyFont="1" applyFill="1" applyBorder="1" applyProtection="1"/>
    <xf numFmtId="0" fontId="39" fillId="4" borderId="29" xfId="0" applyFont="1" applyFill="1" applyBorder="1" applyProtection="1"/>
    <xf numFmtId="0" fontId="53" fillId="4" borderId="16" xfId="0" applyFont="1" applyFill="1" applyBorder="1" applyAlignment="1" applyProtection="1">
      <alignment horizontal="centerContinuous"/>
    </xf>
    <xf numFmtId="0" fontId="22" fillId="4" borderId="17" xfId="0" applyFont="1" applyFill="1" applyBorder="1" applyAlignment="1" applyProtection="1">
      <alignment horizontal="centerContinuous"/>
    </xf>
    <xf numFmtId="5" fontId="41" fillId="3" borderId="1" xfId="0" applyNumberFormat="1" applyFont="1" applyFill="1" applyBorder="1" applyProtection="1"/>
    <xf numFmtId="5" fontId="27" fillId="4" borderId="0" xfId="0" applyNumberFormat="1" applyFont="1" applyFill="1" applyProtection="1"/>
    <xf numFmtId="0" fontId="41" fillId="3" borderId="3" xfId="0" applyFont="1" applyFill="1" applyBorder="1" applyProtection="1"/>
    <xf numFmtId="0" fontId="41" fillId="3" borderId="5" xfId="0" applyFont="1" applyFill="1" applyBorder="1" applyProtection="1"/>
    <xf numFmtId="1" fontId="42" fillId="0" borderId="0" xfId="0" applyNumberFormat="1" applyFont="1" applyFill="1" applyProtection="1"/>
    <xf numFmtId="0" fontId="0" fillId="0" borderId="0" xfId="0" applyFill="1" applyProtection="1"/>
    <xf numFmtId="1" fontId="0" fillId="0" borderId="0" xfId="0" applyNumberFormat="1" applyFill="1" applyProtection="1"/>
    <xf numFmtId="0" fontId="37" fillId="4" borderId="0" xfId="0" applyFont="1" applyFill="1" applyProtection="1"/>
    <xf numFmtId="0" fontId="53" fillId="4" borderId="57" xfId="0" applyFont="1" applyFill="1" applyBorder="1" applyAlignment="1" applyProtection="1">
      <alignment horizontal="centerContinuous"/>
    </xf>
    <xf numFmtId="0" fontId="11" fillId="4" borderId="23" xfId="0" applyFont="1" applyFill="1" applyBorder="1" applyAlignment="1" applyProtection="1">
      <alignment horizontal="centerContinuous"/>
    </xf>
    <xf numFmtId="0" fontId="19" fillId="4" borderId="23" xfId="0" applyFont="1" applyFill="1" applyBorder="1" applyAlignment="1" applyProtection="1">
      <alignment horizontal="centerContinuous"/>
    </xf>
    <xf numFmtId="0" fontId="30" fillId="4" borderId="23" xfId="0" applyFont="1" applyFill="1" applyBorder="1" applyAlignment="1" applyProtection="1">
      <alignment horizontal="centerContinuous"/>
    </xf>
    <xf numFmtId="0" fontId="30" fillId="4" borderId="24" xfId="0" applyFont="1" applyFill="1" applyBorder="1" applyAlignment="1" applyProtection="1">
      <alignment horizontal="centerContinuous"/>
    </xf>
    <xf numFmtId="170" fontId="0" fillId="0" borderId="0" xfId="0" applyNumberFormat="1" applyProtection="1"/>
    <xf numFmtId="0" fontId="108" fillId="4" borderId="0" xfId="0" applyFont="1" applyFill="1" applyAlignment="1" applyProtection="1">
      <alignment horizontal="left"/>
    </xf>
    <xf numFmtId="49" fontId="0" fillId="4" borderId="0" xfId="0" applyNumberFormat="1" applyFill="1" applyProtection="1"/>
    <xf numFmtId="0" fontId="113" fillId="4" borderId="0" xfId="0" applyFont="1" applyFill="1" applyAlignment="1" applyProtection="1">
      <alignment horizontal="right"/>
    </xf>
    <xf numFmtId="0" fontId="18" fillId="4" borderId="0" xfId="0" applyFont="1" applyFill="1" applyProtection="1"/>
    <xf numFmtId="9" fontId="18" fillId="4" borderId="0" xfId="4" applyFont="1" applyFill="1" applyAlignment="1" applyProtection="1">
      <alignment horizontal="center"/>
    </xf>
    <xf numFmtId="0" fontId="93" fillId="0" borderId="0" xfId="0" applyFont="1" applyAlignment="1" applyProtection="1"/>
    <xf numFmtId="0" fontId="93" fillId="11" borderId="0" xfId="0" applyFont="1" applyFill="1" applyAlignment="1" applyProtection="1"/>
    <xf numFmtId="2" fontId="93" fillId="0" borderId="0" xfId="0" applyNumberFormat="1" applyFont="1" applyAlignment="1" applyProtection="1"/>
    <xf numFmtId="1" fontId="17" fillId="4" borderId="0" xfId="0" applyNumberFormat="1" applyFont="1" applyFill="1" applyProtection="1"/>
    <xf numFmtId="0" fontId="39" fillId="0" borderId="0" xfId="0" applyFont="1" applyAlignment="1" applyProtection="1"/>
    <xf numFmtId="0" fontId="95" fillId="4" borderId="0" xfId="0" applyFont="1" applyFill="1" applyProtection="1"/>
    <xf numFmtId="0" fontId="83" fillId="4" borderId="27" xfId="0" applyFont="1" applyFill="1" applyBorder="1" applyProtection="1"/>
    <xf numFmtId="0" fontId="31" fillId="4" borderId="18" xfId="0" applyFont="1" applyFill="1" applyBorder="1" applyAlignment="1" applyProtection="1">
      <alignment horizontal="center"/>
    </xf>
    <xf numFmtId="0" fontId="67" fillId="4" borderId="0" xfId="0" applyFont="1" applyFill="1" applyBorder="1" applyProtection="1"/>
    <xf numFmtId="0" fontId="27" fillId="4" borderId="0" xfId="0" applyFont="1" applyFill="1" applyBorder="1" applyProtection="1"/>
    <xf numFmtId="166" fontId="27" fillId="4" borderId="0" xfId="0" applyNumberFormat="1" applyFont="1" applyFill="1" applyBorder="1" applyProtection="1"/>
    <xf numFmtId="0" fontId="67" fillId="4" borderId="58" xfId="0" applyFont="1" applyFill="1" applyBorder="1" applyProtection="1"/>
    <xf numFmtId="167" fontId="27" fillId="4" borderId="0" xfId="0" applyNumberFormat="1" applyFont="1" applyFill="1" applyBorder="1" applyAlignment="1" applyProtection="1">
      <alignment horizontal="center"/>
    </xf>
    <xf numFmtId="0" fontId="27" fillId="4" borderId="0" xfId="0" applyFont="1" applyFill="1" applyBorder="1" applyAlignment="1" applyProtection="1">
      <alignment horizontal="center"/>
    </xf>
    <xf numFmtId="0" fontId="27" fillId="4" borderId="59" xfId="0" applyFont="1" applyFill="1" applyBorder="1" applyAlignment="1" applyProtection="1">
      <alignment horizontal="center"/>
    </xf>
    <xf numFmtId="0" fontId="27" fillId="4" borderId="19" xfId="0" applyFont="1" applyFill="1" applyBorder="1" applyAlignment="1" applyProtection="1">
      <alignment horizontal="center"/>
    </xf>
    <xf numFmtId="0" fontId="11" fillId="4" borderId="60" xfId="0" applyFont="1" applyFill="1" applyBorder="1" applyProtection="1"/>
    <xf numFmtId="166" fontId="11" fillId="3" borderId="61" xfId="0" applyNumberFormat="1" applyFont="1" applyFill="1" applyBorder="1" applyProtection="1"/>
    <xf numFmtId="3" fontId="11" fillId="3" borderId="6" xfId="0" applyNumberFormat="1" applyFont="1" applyFill="1" applyBorder="1" applyProtection="1"/>
    <xf numFmtId="3" fontId="11" fillId="3" borderId="1" xfId="0" applyNumberFormat="1" applyFont="1" applyFill="1" applyBorder="1" applyProtection="1"/>
    <xf numFmtId="0" fontId="11" fillId="4" borderId="62" xfId="0" applyFont="1" applyFill="1" applyBorder="1" applyProtection="1"/>
    <xf numFmtId="0" fontId="29" fillId="4" borderId="0" xfId="0" applyFont="1" applyFill="1" applyBorder="1" applyProtection="1"/>
    <xf numFmtId="166" fontId="31" fillId="4" borderId="0" xfId="0" applyNumberFormat="1" applyFont="1" applyFill="1" applyBorder="1" applyProtection="1"/>
    <xf numFmtId="0" fontId="17" fillId="4" borderId="0" xfId="0" applyFont="1" applyFill="1" applyBorder="1" applyProtection="1"/>
    <xf numFmtId="0" fontId="27" fillId="4" borderId="63" xfId="0" applyFont="1" applyFill="1" applyBorder="1" applyAlignment="1" applyProtection="1">
      <alignment horizontal="center"/>
    </xf>
    <xf numFmtId="0" fontId="17" fillId="4" borderId="59" xfId="0" applyFont="1" applyFill="1" applyBorder="1" applyProtection="1"/>
    <xf numFmtId="0" fontId="31" fillId="4" borderId="58" xfId="0" applyFont="1" applyFill="1" applyBorder="1" applyProtection="1"/>
    <xf numFmtId="9" fontId="11" fillId="3" borderId="1" xfId="4" applyFont="1" applyFill="1" applyBorder="1" applyProtection="1"/>
    <xf numFmtId="0" fontId="41" fillId="4" borderId="0" xfId="0" applyFont="1" applyFill="1" applyBorder="1" applyProtection="1"/>
    <xf numFmtId="167" fontId="27" fillId="4" borderId="0" xfId="0" applyNumberFormat="1" applyFont="1" applyFill="1" applyProtection="1"/>
    <xf numFmtId="0" fontId="27" fillId="4" borderId="59" xfId="0" applyFont="1" applyFill="1" applyBorder="1" applyProtection="1"/>
    <xf numFmtId="37" fontId="27" fillId="4" borderId="0" xfId="0" applyNumberFormat="1" applyFont="1" applyFill="1" applyBorder="1" applyProtection="1"/>
    <xf numFmtId="0" fontId="84" fillId="4" borderId="0" xfId="0" applyFont="1" applyFill="1" applyBorder="1" applyProtection="1"/>
    <xf numFmtId="0" fontId="52" fillId="4" borderId="0" xfId="0" applyFont="1" applyFill="1" applyBorder="1" applyAlignment="1" applyProtection="1">
      <alignment horizontal="center"/>
    </xf>
    <xf numFmtId="0" fontId="52" fillId="4" borderId="0" xfId="0" applyFont="1" applyFill="1" applyAlignment="1" applyProtection="1">
      <alignment horizontal="center"/>
    </xf>
    <xf numFmtId="0" fontId="84" fillId="4" borderId="58" xfId="0" applyFont="1" applyFill="1" applyBorder="1" applyProtection="1"/>
    <xf numFmtId="3" fontId="11" fillId="3" borderId="37" xfId="0" applyNumberFormat="1" applyFont="1" applyFill="1" applyBorder="1" applyProtection="1"/>
    <xf numFmtId="0" fontId="17" fillId="4" borderId="0" xfId="0" applyFont="1" applyFill="1" applyProtection="1">
      <protection locked="0"/>
    </xf>
    <xf numFmtId="14" fontId="17" fillId="3" borderId="13" xfId="1" applyNumberFormat="1" applyFont="1" applyFill="1" applyBorder="1" applyAlignment="1" applyProtection="1">
      <alignment horizontal="center"/>
      <protection locked="0"/>
    </xf>
    <xf numFmtId="49" fontId="17" fillId="3" borderId="13" xfId="0" applyNumberFormat="1" applyFont="1" applyFill="1" applyBorder="1" applyAlignment="1" applyProtection="1">
      <alignment horizontal="center"/>
      <protection locked="0"/>
    </xf>
    <xf numFmtId="0" fontId="29" fillId="4" borderId="27" xfId="0" applyFont="1" applyFill="1" applyBorder="1" applyProtection="1"/>
    <xf numFmtId="0" fontId="39" fillId="4" borderId="27" xfId="0" applyFont="1" applyFill="1" applyBorder="1" applyProtection="1"/>
    <xf numFmtId="0" fontId="39" fillId="4" borderId="28" xfId="0" applyFont="1" applyFill="1" applyBorder="1" applyProtection="1"/>
    <xf numFmtId="166" fontId="41" fillId="3" borderId="1" xfId="0" applyNumberFormat="1" applyFont="1" applyFill="1" applyBorder="1" applyProtection="1"/>
    <xf numFmtId="9" fontId="41" fillId="3" borderId="1" xfId="0" applyNumberFormat="1" applyFont="1" applyFill="1" applyBorder="1" applyProtection="1"/>
    <xf numFmtId="174" fontId="41" fillId="3" borderId="1" xfId="1" applyNumberFormat="1" applyFont="1" applyFill="1" applyBorder="1" applyProtection="1"/>
    <xf numFmtId="0" fontId="86" fillId="4" borderId="0" xfId="0" applyFont="1" applyFill="1" applyProtection="1"/>
    <xf numFmtId="164" fontId="15" fillId="4" borderId="0" xfId="0" applyNumberFormat="1" applyFont="1" applyFill="1" applyProtection="1"/>
    <xf numFmtId="164" fontId="10" fillId="4" borderId="20" xfId="0" applyNumberFormat="1" applyFont="1" applyFill="1" applyBorder="1" applyProtection="1"/>
    <xf numFmtId="167" fontId="41" fillId="3" borderId="1" xfId="0" applyNumberFormat="1" applyFont="1" applyFill="1" applyBorder="1" applyProtection="1"/>
    <xf numFmtId="0" fontId="106" fillId="4" borderId="0" xfId="0" applyFont="1" applyFill="1" applyProtection="1"/>
    <xf numFmtId="0" fontId="11" fillId="0" borderId="0" xfId="0" applyFont="1" applyProtection="1"/>
    <xf numFmtId="0" fontId="44" fillId="0" borderId="0" xfId="0" applyFont="1" applyProtection="1"/>
    <xf numFmtId="0" fontId="43" fillId="0" borderId="0" xfId="0" applyFont="1" applyProtection="1"/>
    <xf numFmtId="14" fontId="48" fillId="0" borderId="0" xfId="0" applyNumberFormat="1" applyFont="1" applyAlignment="1" applyProtection="1">
      <alignment horizontal="right"/>
    </xf>
    <xf numFmtId="0" fontId="13" fillId="0" borderId="0" xfId="0" applyFont="1" applyProtection="1"/>
    <xf numFmtId="0" fontId="17" fillId="0" borderId="0" xfId="0" applyFont="1" applyProtection="1"/>
    <xf numFmtId="0" fontId="10" fillId="0" borderId="0" xfId="0" applyFont="1" applyProtection="1"/>
    <xf numFmtId="0" fontId="11" fillId="4" borderId="27" xfId="0" applyFont="1" applyFill="1" applyBorder="1" applyProtection="1"/>
    <xf numFmtId="0" fontId="33" fillId="4" borderId="0" xfId="0" applyFont="1" applyFill="1" applyAlignment="1" applyProtection="1">
      <alignment horizontal="center"/>
    </xf>
    <xf numFmtId="5" fontId="11" fillId="3" borderId="1" xfId="0" applyNumberFormat="1" applyFont="1" applyFill="1" applyBorder="1" applyProtection="1"/>
    <xf numFmtId="5" fontId="11" fillId="4" borderId="0" xfId="0" applyNumberFormat="1" applyFont="1" applyFill="1" applyProtection="1"/>
    <xf numFmtId="5" fontId="11" fillId="3" borderId="64" xfId="0" applyNumberFormat="1" applyFont="1" applyFill="1" applyBorder="1" applyProtection="1"/>
    <xf numFmtId="0" fontId="11" fillId="4" borderId="9" xfId="0" applyFont="1" applyFill="1" applyBorder="1" applyProtection="1"/>
    <xf numFmtId="0" fontId="11" fillId="4" borderId="10" xfId="0" applyFont="1" applyFill="1" applyBorder="1" applyProtection="1"/>
    <xf numFmtId="10" fontId="41" fillId="2" borderId="1" xfId="0" applyNumberFormat="1" applyFont="1" applyFill="1" applyBorder="1" applyProtection="1">
      <protection locked="0"/>
    </xf>
    <xf numFmtId="44" fontId="41" fillId="2" borderId="1" xfId="2" applyFont="1" applyFill="1" applyBorder="1" applyAlignment="1" applyProtection="1">
      <alignment horizontal="center"/>
      <protection locked="0"/>
    </xf>
    <xf numFmtId="0" fontId="28" fillId="0" borderId="0" xfId="0" applyFont="1" applyProtection="1"/>
    <xf numFmtId="0" fontId="79" fillId="0" borderId="0" xfId="0" applyFont="1" applyProtection="1"/>
    <xf numFmtId="0" fontId="28" fillId="4" borderId="0" xfId="0" applyFont="1" applyFill="1" applyAlignment="1" applyProtection="1">
      <alignment horizontal="centerContinuous"/>
    </xf>
    <xf numFmtId="0" fontId="31" fillId="4" borderId="0" xfId="0" applyFont="1" applyFill="1" applyAlignment="1" applyProtection="1">
      <alignment horizontal="centerContinuous"/>
    </xf>
    <xf numFmtId="0" fontId="20" fillId="4" borderId="26" xfId="0" applyFont="1" applyFill="1" applyBorder="1" applyAlignment="1" applyProtection="1">
      <alignment horizontal="centerContinuous"/>
    </xf>
    <xf numFmtId="0" fontId="23" fillId="4" borderId="27" xfId="0" applyFont="1" applyFill="1" applyBorder="1" applyAlignment="1" applyProtection="1">
      <alignment horizontal="centerContinuous"/>
    </xf>
    <xf numFmtId="0" fontId="23" fillId="4" borderId="28" xfId="0" applyFont="1" applyFill="1" applyBorder="1" applyAlignment="1" applyProtection="1">
      <alignment horizontal="centerContinuous"/>
    </xf>
    <xf numFmtId="0" fontId="16" fillId="4" borderId="57" xfId="0" applyFont="1" applyFill="1" applyBorder="1" applyAlignment="1" applyProtection="1">
      <alignment horizontal="centerContinuous"/>
    </xf>
    <xf numFmtId="0" fontId="14" fillId="4" borderId="24" xfId="0" applyFont="1" applyFill="1" applyBorder="1" applyAlignment="1" applyProtection="1">
      <alignment horizontal="centerContinuous"/>
    </xf>
    <xf numFmtId="0" fontId="28" fillId="0" borderId="18" xfId="0" applyFont="1" applyFill="1" applyBorder="1" applyProtection="1"/>
    <xf numFmtId="0" fontId="28" fillId="0" borderId="0" xfId="0" applyFont="1" applyFill="1" applyProtection="1"/>
    <xf numFmtId="0" fontId="28" fillId="0" borderId="4" xfId="0" applyFont="1" applyFill="1" applyBorder="1" applyProtection="1"/>
    <xf numFmtId="0" fontId="28" fillId="0" borderId="20" xfId="0" applyFont="1" applyFill="1" applyBorder="1" applyProtection="1"/>
    <xf numFmtId="0" fontId="17" fillId="3" borderId="3" xfId="0" applyFont="1" applyFill="1" applyBorder="1" applyProtection="1"/>
    <xf numFmtId="0" fontId="17" fillId="3" borderId="4" xfId="0" applyFont="1" applyFill="1" applyBorder="1" applyProtection="1"/>
    <xf numFmtId="0" fontId="17" fillId="3" borderId="5" xfId="0" applyFont="1" applyFill="1" applyBorder="1" applyProtection="1"/>
    <xf numFmtId="0" fontId="17" fillId="0" borderId="20" xfId="0" applyFont="1" applyFill="1" applyBorder="1" applyProtection="1"/>
    <xf numFmtId="0" fontId="31" fillId="0" borderId="18" xfId="0" applyFont="1" applyFill="1" applyBorder="1" applyProtection="1"/>
    <xf numFmtId="0" fontId="31" fillId="0" borderId="0" xfId="0" applyFont="1" applyFill="1" applyProtection="1"/>
    <xf numFmtId="0" fontId="31" fillId="3" borderId="1" xfId="0" applyFont="1" applyFill="1" applyBorder="1" applyProtection="1"/>
    <xf numFmtId="0" fontId="31" fillId="0" borderId="20" xfId="0" applyFont="1" applyFill="1" applyBorder="1" applyProtection="1"/>
    <xf numFmtId="0" fontId="11" fillId="0" borderId="0" xfId="0" applyFont="1" applyFill="1" applyProtection="1"/>
    <xf numFmtId="179" fontId="0" fillId="0" borderId="0" xfId="0" applyNumberFormat="1" applyProtection="1"/>
    <xf numFmtId="0" fontId="11" fillId="0" borderId="65" xfId="0" applyFont="1" applyFill="1" applyBorder="1" applyProtection="1"/>
    <xf numFmtId="0" fontId="19" fillId="0" borderId="0" xfId="0" applyFont="1" applyFill="1" applyProtection="1"/>
    <xf numFmtId="5" fontId="31" fillId="3" borderId="1" xfId="0" applyNumberFormat="1" applyFont="1" applyFill="1" applyBorder="1" applyProtection="1"/>
    <xf numFmtId="0" fontId="29" fillId="0" borderId="0" xfId="0" applyFont="1" applyFill="1" applyProtection="1"/>
    <xf numFmtId="0" fontId="18" fillId="0" borderId="0" xfId="0" applyFont="1" applyFill="1" applyProtection="1"/>
    <xf numFmtId="0" fontId="27" fillId="0" borderId="0" xfId="0" applyFont="1" applyFill="1" applyProtection="1"/>
    <xf numFmtId="10" fontId="31" fillId="3" borderId="1" xfId="0" applyNumberFormat="1" applyFont="1" applyFill="1" applyBorder="1" applyProtection="1"/>
    <xf numFmtId="5" fontId="31" fillId="0" borderId="0" xfId="0" applyNumberFormat="1" applyFont="1" applyFill="1" applyProtection="1"/>
    <xf numFmtId="0" fontId="28" fillId="0" borderId="8" xfId="0" applyFont="1" applyFill="1" applyBorder="1" applyProtection="1"/>
    <xf numFmtId="0" fontId="28" fillId="0" borderId="9" xfId="0" applyFont="1" applyFill="1" applyBorder="1" applyProtection="1"/>
    <xf numFmtId="0" fontId="28" fillId="0" borderId="10" xfId="0" applyFont="1" applyFill="1" applyBorder="1" applyProtection="1"/>
    <xf numFmtId="0" fontId="27" fillId="0" borderId="0" xfId="0" applyFont="1" applyProtection="1"/>
    <xf numFmtId="0" fontId="20" fillId="0" borderId="26" xfId="0" applyFont="1" applyFill="1" applyBorder="1" applyProtection="1"/>
    <xf numFmtId="0" fontId="23" fillId="0" borderId="27" xfId="0" applyFont="1" applyFill="1" applyBorder="1" applyProtection="1"/>
    <xf numFmtId="0" fontId="23" fillId="0" borderId="28" xfId="0" applyFont="1" applyFill="1" applyBorder="1" applyProtection="1"/>
    <xf numFmtId="0" fontId="16" fillId="0" borderId="66" xfId="0" applyFont="1" applyFill="1" applyBorder="1" applyProtection="1"/>
    <xf numFmtId="0" fontId="16" fillId="0" borderId="46" xfId="0" applyFont="1" applyFill="1" applyBorder="1" applyProtection="1"/>
    <xf numFmtId="0" fontId="16" fillId="0" borderId="67" xfId="0" applyFont="1" applyFill="1" applyBorder="1" applyProtection="1"/>
    <xf numFmtId="0" fontId="28" fillId="0" borderId="66" xfId="0" applyFont="1" applyFill="1" applyBorder="1" applyProtection="1"/>
    <xf numFmtId="0" fontId="28" fillId="0" borderId="46" xfId="0" applyFont="1" applyFill="1" applyBorder="1" applyProtection="1"/>
    <xf numFmtId="0" fontId="28" fillId="0" borderId="67" xfId="0" applyFont="1" applyFill="1" applyBorder="1" applyProtection="1"/>
    <xf numFmtId="0" fontId="31" fillId="0" borderId="0" xfId="0" applyFont="1" applyFill="1" applyAlignment="1" applyProtection="1">
      <alignment horizontal="center"/>
    </xf>
    <xf numFmtId="0" fontId="27" fillId="0" borderId="0" xfId="0" applyFont="1" applyFill="1" applyAlignment="1" applyProtection="1">
      <alignment horizontal="center"/>
    </xf>
    <xf numFmtId="0" fontId="17" fillId="0" borderId="18" xfId="0" applyFont="1" applyFill="1" applyBorder="1" applyProtection="1"/>
    <xf numFmtId="167" fontId="31" fillId="3" borderId="1" xfId="0" applyNumberFormat="1" applyFont="1" applyFill="1" applyBorder="1" applyProtection="1"/>
    <xf numFmtId="7" fontId="31" fillId="3" borderId="1" xfId="0" applyNumberFormat="1" applyFont="1" applyFill="1" applyBorder="1" applyProtection="1"/>
    <xf numFmtId="5" fontId="28" fillId="0" borderId="0" xfId="0" applyNumberFormat="1" applyFont="1" applyFill="1" applyProtection="1"/>
    <xf numFmtId="7" fontId="28" fillId="0" borderId="0" xfId="0" applyNumberFormat="1" applyFont="1" applyFill="1" applyProtection="1"/>
    <xf numFmtId="7" fontId="31" fillId="0" borderId="0" xfId="0" applyNumberFormat="1" applyFont="1" applyFill="1" applyProtection="1"/>
    <xf numFmtId="167" fontId="28" fillId="0" borderId="0" xfId="0" applyNumberFormat="1" applyFont="1" applyFill="1" applyProtection="1"/>
    <xf numFmtId="167" fontId="31" fillId="0" borderId="0" xfId="0" applyNumberFormat="1" applyFont="1" applyFill="1" applyProtection="1"/>
    <xf numFmtId="0" fontId="27" fillId="0" borderId="18" xfId="0" applyFont="1" applyFill="1" applyBorder="1" applyProtection="1"/>
    <xf numFmtId="0" fontId="33" fillId="0" borderId="0" xfId="0" applyFont="1" applyFill="1" applyProtection="1"/>
    <xf numFmtId="0" fontId="33" fillId="0" borderId="18" xfId="0" applyFont="1" applyFill="1" applyBorder="1" applyProtection="1"/>
    <xf numFmtId="37" fontId="31" fillId="3" borderId="1" xfId="0" applyNumberFormat="1" applyFont="1" applyFill="1" applyBorder="1" applyProtection="1"/>
    <xf numFmtId="37" fontId="31" fillId="3" borderId="54" xfId="0" applyNumberFormat="1" applyFont="1" applyFill="1" applyBorder="1" applyProtection="1"/>
    <xf numFmtId="37" fontId="31" fillId="3" borderId="11" xfId="0" applyNumberFormat="1" applyFont="1" applyFill="1" applyBorder="1" applyProtection="1"/>
    <xf numFmtId="5" fontId="31" fillId="3" borderId="11" xfId="0" applyNumberFormat="1" applyFont="1" applyFill="1" applyBorder="1" applyProtection="1"/>
    <xf numFmtId="169" fontId="31" fillId="3" borderId="1" xfId="0" applyNumberFormat="1" applyFont="1" applyFill="1" applyBorder="1" applyAlignment="1" applyProtection="1">
      <alignment horizontal="right"/>
    </xf>
    <xf numFmtId="0" fontId="31" fillId="0" borderId="8" xfId="0" applyFont="1" applyFill="1" applyBorder="1" applyProtection="1"/>
    <xf numFmtId="0" fontId="31" fillId="0" borderId="9" xfId="0" applyFont="1" applyFill="1" applyBorder="1" applyProtection="1"/>
    <xf numFmtId="0" fontId="31" fillId="0" borderId="10" xfId="0" applyFont="1" applyFill="1" applyBorder="1" applyProtection="1"/>
    <xf numFmtId="0" fontId="35" fillId="0" borderId="18" xfId="0" applyFont="1" applyFill="1" applyBorder="1" applyProtection="1"/>
    <xf numFmtId="0" fontId="29" fillId="0" borderId="18" xfId="0" applyFont="1" applyFill="1" applyBorder="1" applyProtection="1"/>
    <xf numFmtId="0" fontId="49" fillId="0" borderId="0" xfId="0" applyFont="1" applyFill="1" applyProtection="1"/>
    <xf numFmtId="0" fontId="34" fillId="0" borderId="0" xfId="0" applyFont="1" applyFill="1" applyProtection="1"/>
    <xf numFmtId="5" fontId="31" fillId="3" borderId="50" xfId="0" applyNumberFormat="1" applyFont="1" applyFill="1" applyBorder="1" applyProtection="1"/>
    <xf numFmtId="7" fontId="31" fillId="3" borderId="11" xfId="0" applyNumberFormat="1" applyFont="1" applyFill="1" applyBorder="1" applyProtection="1"/>
    <xf numFmtId="5" fontId="31" fillId="3" borderId="68" xfId="0" applyNumberFormat="1" applyFont="1" applyFill="1" applyBorder="1" applyProtection="1"/>
    <xf numFmtId="0" fontId="16" fillId="0" borderId="57" xfId="0" applyFont="1" applyFill="1" applyBorder="1" applyProtection="1"/>
    <xf numFmtId="0" fontId="16" fillId="0" borderId="23" xfId="0" applyFont="1" applyFill="1" applyBorder="1" applyProtection="1"/>
    <xf numFmtId="0" fontId="16" fillId="0" borderId="24" xfId="0" applyFont="1" applyFill="1" applyBorder="1" applyProtection="1"/>
    <xf numFmtId="5" fontId="31" fillId="3" borderId="54" xfId="0" applyNumberFormat="1" applyFont="1" applyFill="1" applyBorder="1" applyProtection="1"/>
    <xf numFmtId="7" fontId="31" fillId="3" borderId="54" xfId="0" applyNumberFormat="1" applyFont="1" applyFill="1" applyBorder="1" applyProtection="1"/>
    <xf numFmtId="5" fontId="31" fillId="3" borderId="53" xfId="0" applyNumberFormat="1" applyFont="1" applyFill="1" applyBorder="1" applyProtection="1"/>
    <xf numFmtId="0" fontId="38" fillId="4" borderId="0" xfId="0" applyFont="1" applyFill="1" applyAlignment="1" applyProtection="1">
      <alignment horizontal="center"/>
    </xf>
    <xf numFmtId="0" fontId="10" fillId="0" borderId="26" xfId="0" applyFont="1" applyFill="1" applyBorder="1" applyProtection="1"/>
    <xf numFmtId="0" fontId="10" fillId="0" borderId="27" xfId="0" applyFont="1" applyFill="1" applyBorder="1" applyProtection="1"/>
    <xf numFmtId="0" fontId="10" fillId="0" borderId="27" xfId="0" applyFont="1" applyFill="1" applyBorder="1" applyAlignment="1" applyProtection="1">
      <alignment horizontal="center"/>
    </xf>
    <xf numFmtId="0" fontId="10" fillId="0" borderId="28" xfId="0" applyFont="1" applyFill="1" applyBorder="1" applyProtection="1"/>
    <xf numFmtId="0" fontId="41" fillId="0" borderId="0" xfId="0" applyFont="1" applyFill="1" applyProtection="1"/>
    <xf numFmtId="0" fontId="47" fillId="0" borderId="0" xfId="0" applyFont="1" applyFill="1" applyAlignment="1" applyProtection="1">
      <alignment horizontal="center"/>
    </xf>
    <xf numFmtId="0" fontId="41" fillId="0" borderId="20" xfId="0" applyFont="1" applyFill="1" applyBorder="1" applyProtection="1"/>
    <xf numFmtId="0" fontId="41" fillId="0" borderId="18" xfId="0" applyFont="1" applyFill="1" applyBorder="1" applyProtection="1"/>
    <xf numFmtId="0" fontId="41" fillId="0" borderId="0" xfId="0" applyFont="1" applyFill="1" applyAlignment="1" applyProtection="1">
      <alignment horizontal="center"/>
    </xf>
    <xf numFmtId="0" fontId="42" fillId="0" borderId="0" xfId="0" applyFont="1" applyAlignment="1" applyProtection="1">
      <alignment horizontal="center"/>
    </xf>
    <xf numFmtId="0" fontId="10" fillId="0" borderId="18" xfId="0" applyFont="1" applyFill="1" applyBorder="1" applyProtection="1"/>
    <xf numFmtId="0" fontId="10" fillId="0" borderId="0" xfId="0" applyFont="1" applyFill="1" applyProtection="1"/>
    <xf numFmtId="0" fontId="10" fillId="0" borderId="0" xfId="0" applyFont="1" applyFill="1" applyAlignment="1" applyProtection="1">
      <alignment horizontal="center"/>
    </xf>
    <xf numFmtId="0" fontId="10" fillId="0" borderId="20" xfId="0" applyFont="1" applyFill="1" applyBorder="1" applyProtection="1"/>
    <xf numFmtId="0" fontId="28" fillId="0" borderId="0" xfId="0" applyFont="1" applyFill="1" applyAlignment="1" applyProtection="1">
      <alignment horizontal="center"/>
    </xf>
    <xf numFmtId="0" fontId="10" fillId="0" borderId="8" xfId="0" applyFont="1" applyFill="1" applyBorder="1" applyProtection="1"/>
    <xf numFmtId="0" fontId="10" fillId="0" borderId="9" xfId="0" applyFont="1" applyFill="1" applyBorder="1" applyProtection="1"/>
    <xf numFmtId="0" fontId="10" fillId="0" borderId="9" xfId="0" applyFont="1" applyFill="1" applyBorder="1" applyAlignment="1" applyProtection="1">
      <alignment horizontal="center"/>
    </xf>
    <xf numFmtId="0" fontId="10" fillId="0" borderId="10" xfId="0" applyFont="1" applyFill="1" applyBorder="1" applyProtection="1"/>
    <xf numFmtId="0" fontId="44" fillId="0" borderId="0" xfId="0" applyFont="1" applyAlignment="1" applyProtection="1">
      <alignment horizontal="right"/>
    </xf>
    <xf numFmtId="14" fontId="44" fillId="0" borderId="0" xfId="0" applyNumberFormat="1" applyFont="1" applyAlignment="1" applyProtection="1">
      <alignment horizontal="center"/>
    </xf>
    <xf numFmtId="0" fontId="107" fillId="0" borderId="0" xfId="0" applyFont="1" applyProtection="1"/>
    <xf numFmtId="0" fontId="31" fillId="0" borderId="0" xfId="0" applyFont="1" applyProtection="1"/>
    <xf numFmtId="0" fontId="17" fillId="0" borderId="0" xfId="0" applyFont="1" applyAlignment="1" applyProtection="1">
      <alignment horizontal="center"/>
    </xf>
    <xf numFmtId="0" fontId="13" fillId="0" borderId="0" xfId="0" applyFont="1" applyFill="1" applyProtection="1"/>
    <xf numFmtId="0" fontId="33" fillId="0" borderId="0" xfId="0" applyFont="1" applyFill="1" applyAlignment="1" applyProtection="1">
      <alignment horizontal="center"/>
    </xf>
    <xf numFmtId="0" fontId="17" fillId="0" borderId="0" xfId="0" applyFont="1" applyFill="1" applyAlignment="1" applyProtection="1">
      <alignment horizontal="center"/>
    </xf>
    <xf numFmtId="0" fontId="75" fillId="0" borderId="0" xfId="0" applyFont="1" applyFill="1" applyAlignment="1" applyProtection="1">
      <alignment horizontal="center"/>
    </xf>
    <xf numFmtId="0" fontId="28" fillId="0" borderId="0" xfId="0" applyFont="1" applyAlignment="1" applyProtection="1">
      <alignment horizontal="center"/>
    </xf>
    <xf numFmtId="0" fontId="85" fillId="0" borderId="0" xfId="0" applyFont="1" applyAlignment="1" applyProtection="1">
      <alignment horizontal="center"/>
    </xf>
    <xf numFmtId="0" fontId="85" fillId="0" borderId="0" xfId="0" applyFont="1" applyProtection="1"/>
    <xf numFmtId="0" fontId="33" fillId="0" borderId="0" xfId="0" applyFont="1" applyAlignment="1" applyProtection="1">
      <alignment horizontal="centerContinuous" vertical="center"/>
    </xf>
    <xf numFmtId="0" fontId="10" fillId="0" borderId="0" xfId="0" applyFont="1" applyAlignment="1" applyProtection="1">
      <alignment horizontal="centerContinuous" vertical="center"/>
    </xf>
    <xf numFmtId="0" fontId="17" fillId="0" borderId="0" xfId="0" applyFont="1" applyAlignment="1" applyProtection="1">
      <alignment horizontal="centerContinuous"/>
    </xf>
    <xf numFmtId="0" fontId="19" fillId="0" borderId="0" xfId="0" applyFont="1" applyAlignment="1" applyProtection="1">
      <alignment horizontal="centerContinuous"/>
    </xf>
    <xf numFmtId="0" fontId="33" fillId="0" borderId="0" xfId="0" applyFont="1" applyProtection="1"/>
    <xf numFmtId="0" fontId="33" fillId="4" borderId="26" xfId="0" applyFont="1" applyFill="1" applyBorder="1" applyProtection="1"/>
    <xf numFmtId="0" fontId="33" fillId="4" borderId="27" xfId="0" applyFont="1" applyFill="1" applyBorder="1" applyProtection="1"/>
    <xf numFmtId="0" fontId="33" fillId="4" borderId="28" xfId="0" applyFont="1" applyFill="1" applyBorder="1" applyProtection="1"/>
    <xf numFmtId="0" fontId="33" fillId="4" borderId="18" xfId="0" applyFont="1" applyFill="1" applyBorder="1" applyProtection="1"/>
    <xf numFmtId="0" fontId="33" fillId="4" borderId="20" xfId="0" applyFont="1" applyFill="1" applyBorder="1" applyProtection="1"/>
    <xf numFmtId="0" fontId="29" fillId="4" borderId="18" xfId="0" applyFont="1" applyFill="1" applyBorder="1" applyProtection="1"/>
    <xf numFmtId="5" fontId="11" fillId="3" borderId="49" xfId="0" applyNumberFormat="1" applyFont="1" applyFill="1" applyBorder="1" applyProtection="1"/>
    <xf numFmtId="5" fontId="11" fillId="3" borderId="69" xfId="0" applyNumberFormat="1" applyFont="1" applyFill="1" applyBorder="1" applyProtection="1"/>
    <xf numFmtId="0" fontId="51" fillId="4" borderId="18" xfId="0" applyFont="1" applyFill="1" applyBorder="1" applyProtection="1"/>
    <xf numFmtId="5" fontId="10" fillId="4" borderId="0" xfId="0" applyNumberFormat="1" applyFont="1" applyFill="1" applyProtection="1"/>
    <xf numFmtId="5" fontId="10" fillId="4" borderId="20" xfId="0" applyNumberFormat="1" applyFont="1" applyFill="1" applyBorder="1" applyProtection="1"/>
    <xf numFmtId="5" fontId="11" fillId="4" borderId="20" xfId="0" applyNumberFormat="1" applyFont="1" applyFill="1" applyBorder="1" applyProtection="1"/>
    <xf numFmtId="5" fontId="11" fillId="3" borderId="11" xfId="0" applyNumberFormat="1" applyFont="1" applyFill="1" applyBorder="1" applyProtection="1"/>
    <xf numFmtId="5" fontId="11" fillId="3" borderId="12" xfId="0" applyNumberFormat="1" applyFont="1" applyFill="1" applyBorder="1" applyProtection="1"/>
    <xf numFmtId="5" fontId="11" fillId="3" borderId="7" xfId="0" applyNumberFormat="1" applyFont="1" applyFill="1" applyBorder="1" applyProtection="1"/>
    <xf numFmtId="0" fontId="34" fillId="4" borderId="18" xfId="0" applyFont="1" applyFill="1" applyBorder="1" applyProtection="1"/>
    <xf numFmtId="167" fontId="11" fillId="3" borderId="7" xfId="0" applyNumberFormat="1" applyFont="1" applyFill="1" applyBorder="1" applyProtection="1"/>
    <xf numFmtId="0" fontId="33" fillId="0" borderId="0" xfId="0" applyFont="1" applyAlignment="1" applyProtection="1">
      <alignment horizontal="centerContinuous"/>
    </xf>
    <xf numFmtId="0" fontId="10" fillId="0" borderId="0" xfId="0" applyFont="1" applyAlignment="1" applyProtection="1">
      <alignment horizontal="centerContinuous"/>
    </xf>
    <xf numFmtId="5" fontId="11" fillId="4" borderId="18" xfId="0" applyNumberFormat="1" applyFont="1" applyFill="1" applyBorder="1" applyProtection="1"/>
    <xf numFmtId="5" fontId="10" fillId="4" borderId="18" xfId="0" applyNumberFormat="1" applyFont="1" applyFill="1" applyBorder="1" applyProtection="1"/>
    <xf numFmtId="5" fontId="29" fillId="4" borderId="18" xfId="0" applyNumberFormat="1" applyFont="1" applyFill="1" applyBorder="1" applyProtection="1"/>
    <xf numFmtId="5" fontId="11" fillId="2" borderId="7" xfId="0" applyNumberFormat="1" applyFont="1" applyFill="1" applyBorder="1" applyProtection="1"/>
    <xf numFmtId="5" fontId="10" fillId="4" borderId="8" xfId="0" applyNumberFormat="1" applyFont="1" applyFill="1" applyBorder="1" applyProtection="1"/>
    <xf numFmtId="0" fontId="17" fillId="0" borderId="0" xfId="0" applyFont="1" applyAlignment="1" applyProtection="1">
      <alignment horizontal="left"/>
    </xf>
    <xf numFmtId="0" fontId="14" fillId="0" borderId="0" xfId="0" applyFont="1" applyAlignment="1" applyProtection="1">
      <alignment horizontal="left"/>
    </xf>
    <xf numFmtId="5" fontId="10" fillId="4" borderId="10" xfId="0" applyNumberFormat="1" applyFont="1" applyFill="1" applyBorder="1" applyProtection="1"/>
    <xf numFmtId="0" fontId="10" fillId="0" borderId="0" xfId="0" applyFont="1" applyFill="1" applyBorder="1" applyProtection="1">
      <protection locked="0"/>
    </xf>
    <xf numFmtId="0" fontId="17" fillId="0" borderId="0" xfId="0" applyFont="1" applyFill="1" applyBorder="1" applyProtection="1">
      <protection locked="0"/>
    </xf>
    <xf numFmtId="180" fontId="111" fillId="12" borderId="0" xfId="0" applyNumberFormat="1" applyFont="1" applyFill="1" applyAlignment="1">
      <alignment horizontal="center"/>
    </xf>
    <xf numFmtId="180" fontId="84" fillId="2" borderId="13" xfId="0" applyNumberFormat="1" applyFont="1" applyFill="1" applyBorder="1" applyAlignment="1" applyProtection="1">
      <alignment horizontal="center"/>
      <protection locked="0"/>
    </xf>
    <xf numFmtId="0" fontId="41" fillId="3" borderId="1" xfId="0" applyFont="1" applyFill="1" applyBorder="1" applyAlignment="1" applyProtection="1">
      <alignment horizontal="center"/>
      <protection locked="0"/>
    </xf>
    <xf numFmtId="0" fontId="49" fillId="2" borderId="1" xfId="0" applyNumberFormat="1" applyFont="1" applyFill="1" applyBorder="1" applyAlignment="1" applyProtection="1">
      <alignment horizontal="center"/>
      <protection locked="0"/>
    </xf>
    <xf numFmtId="41" fontId="31" fillId="3" borderId="1" xfId="0" applyNumberFormat="1" applyFont="1" applyFill="1" applyBorder="1" applyAlignment="1" applyProtection="1">
      <alignment horizontal="right"/>
    </xf>
    <xf numFmtId="174" fontId="11" fillId="3" borderId="1" xfId="0" applyNumberFormat="1" applyFont="1" applyFill="1" applyBorder="1" applyProtection="1"/>
    <xf numFmtId="41" fontId="11" fillId="4" borderId="1" xfId="0" applyNumberFormat="1" applyFont="1" applyFill="1" applyBorder="1" applyProtection="1">
      <protection locked="0"/>
    </xf>
    <xf numFmtId="41" fontId="11" fillId="2" borderId="14" xfId="0" applyNumberFormat="1" applyFont="1" applyFill="1" applyBorder="1" applyProtection="1">
      <protection locked="0"/>
    </xf>
    <xf numFmtId="0" fontId="11" fillId="2" borderId="13" xfId="0" applyFont="1" applyFill="1" applyBorder="1" applyAlignment="1" applyProtection="1">
      <alignment horizontal="center"/>
      <protection locked="0"/>
    </xf>
    <xf numFmtId="2" fontId="17" fillId="3" borderId="2" xfId="0" applyNumberFormat="1" applyFont="1" applyFill="1" applyBorder="1" applyProtection="1"/>
    <xf numFmtId="49" fontId="11" fillId="2" borderId="70" xfId="0" applyNumberFormat="1" applyFont="1" applyFill="1" applyBorder="1" applyAlignment="1" applyProtection="1">
      <alignment horizontal="center"/>
      <protection locked="0"/>
    </xf>
    <xf numFmtId="3" fontId="17" fillId="3" borderId="1" xfId="0" applyNumberFormat="1" applyFont="1" applyFill="1" applyBorder="1" applyProtection="1"/>
    <xf numFmtId="7" fontId="17" fillId="2" borderId="71" xfId="0" applyNumberFormat="1" applyFont="1" applyFill="1" applyBorder="1" applyProtection="1">
      <protection locked="0"/>
    </xf>
    <xf numFmtId="3" fontId="31" fillId="3" borderId="1" xfId="0" applyNumberFormat="1" applyFont="1" applyFill="1" applyBorder="1" applyProtection="1"/>
    <xf numFmtId="3" fontId="31" fillId="4" borderId="0" xfId="0" applyNumberFormat="1" applyFont="1" applyFill="1" applyAlignment="1" applyProtection="1">
      <alignment horizontal="right"/>
    </xf>
    <xf numFmtId="3" fontId="31" fillId="2" borderId="1" xfId="0" applyNumberFormat="1" applyFont="1" applyFill="1" applyBorder="1" applyProtection="1">
      <protection locked="0"/>
    </xf>
    <xf numFmtId="3" fontId="17" fillId="4" borderId="0" xfId="0" applyNumberFormat="1" applyFont="1" applyFill="1" applyProtection="1"/>
    <xf numFmtId="3" fontId="17" fillId="4" borderId="0" xfId="0" applyNumberFormat="1" applyFont="1" applyFill="1" applyAlignment="1" applyProtection="1">
      <alignment horizontal="right"/>
    </xf>
    <xf numFmtId="3" fontId="31" fillId="4" borderId="0" xfId="0" applyNumberFormat="1" applyFont="1" applyFill="1" applyProtection="1"/>
    <xf numFmtId="3" fontId="11" fillId="4" borderId="0" xfId="0" applyNumberFormat="1" applyFont="1" applyFill="1" applyAlignment="1" applyProtection="1">
      <alignment horizontal="right"/>
    </xf>
    <xf numFmtId="0" fontId="49" fillId="2" borderId="13" xfId="0" applyFont="1" applyFill="1" applyBorder="1" applyAlignment="1" applyProtection="1">
      <alignment horizontal="center"/>
      <protection locked="0"/>
    </xf>
    <xf numFmtId="5" fontId="49" fillId="2" borderId="1" xfId="0" applyNumberFormat="1" applyFont="1" applyFill="1" applyBorder="1" applyAlignment="1" applyProtection="1">
      <alignment horizontal="center"/>
      <protection locked="0"/>
    </xf>
    <xf numFmtId="0" fontId="11" fillId="3" borderId="1" xfId="0" applyFont="1" applyFill="1" applyBorder="1" applyAlignment="1" applyProtection="1">
      <alignment horizontal="center"/>
    </xf>
    <xf numFmtId="169" fontId="31" fillId="3" borderId="1" xfId="0" applyNumberFormat="1" applyFont="1" applyFill="1" applyBorder="1" applyProtection="1"/>
    <xf numFmtId="3" fontId="28" fillId="0" borderId="0" xfId="0" applyNumberFormat="1" applyFont="1" applyFill="1" applyProtection="1"/>
    <xf numFmtId="0" fontId="52" fillId="0" borderId="0" xfId="0" applyFont="1" applyFill="1" applyProtection="1"/>
    <xf numFmtId="0" fontId="56" fillId="4" borderId="0" xfId="0" applyFont="1" applyFill="1" applyAlignment="1" applyProtection="1">
      <alignment horizontal="right"/>
    </xf>
    <xf numFmtId="9" fontId="31" fillId="3" borderId="13" xfId="4" applyFont="1" applyFill="1" applyBorder="1" applyProtection="1"/>
    <xf numFmtId="2" fontId="17" fillId="3" borderId="13" xfId="0" applyNumberFormat="1" applyFont="1" applyFill="1" applyBorder="1" applyProtection="1"/>
    <xf numFmtId="173" fontId="17" fillId="0" borderId="1" xfId="2" applyNumberFormat="1" applyFont="1" applyFill="1" applyBorder="1" applyProtection="1">
      <protection locked="0"/>
    </xf>
    <xf numFmtId="49" fontId="17" fillId="2" borderId="13" xfId="0" applyNumberFormat="1" applyFont="1" applyFill="1" applyBorder="1" applyProtection="1">
      <protection locked="0"/>
    </xf>
    <xf numFmtId="41" fontId="17" fillId="3" borderId="13" xfId="0" applyNumberFormat="1" applyFont="1" applyFill="1" applyBorder="1" applyAlignment="1" applyProtection="1">
      <alignment horizontal="left"/>
    </xf>
    <xf numFmtId="5" fontId="31" fillId="3" borderId="1" xfId="0" applyNumberFormat="1" applyFont="1" applyFill="1" applyBorder="1" applyAlignment="1" applyProtection="1">
      <alignment horizontal="right"/>
    </xf>
    <xf numFmtId="168" fontId="31" fillId="3" borderId="1" xfId="0" applyNumberFormat="1" applyFont="1" applyFill="1" applyBorder="1" applyAlignment="1" applyProtection="1">
      <alignment horizontal="right"/>
    </xf>
    <xf numFmtId="166" fontId="31" fillId="3" borderId="1" xfId="0" applyNumberFormat="1" applyFont="1" applyFill="1" applyBorder="1" applyAlignment="1" applyProtection="1">
      <alignment horizontal="right"/>
    </xf>
    <xf numFmtId="9" fontId="11" fillId="3" borderId="1" xfId="0" applyNumberFormat="1" applyFont="1" applyFill="1" applyBorder="1" applyAlignment="1" applyProtection="1">
      <alignment horizontal="right"/>
    </xf>
    <xf numFmtId="0" fontId="85" fillId="4" borderId="0" xfId="0" applyFont="1" applyFill="1" applyProtection="1"/>
    <xf numFmtId="167" fontId="31" fillId="4" borderId="0" xfId="4" applyNumberFormat="1" applyFont="1" applyFill="1" applyProtection="1"/>
    <xf numFmtId="0" fontId="49" fillId="4" borderId="0" xfId="0" applyFont="1" applyFill="1" applyAlignment="1" applyProtection="1">
      <alignment horizontal="left"/>
    </xf>
    <xf numFmtId="41" fontId="31" fillId="0" borderId="0" xfId="0" applyNumberFormat="1" applyFont="1" applyFill="1" applyAlignment="1" applyProtection="1">
      <alignment horizontal="left"/>
    </xf>
    <xf numFmtId="5" fontId="117" fillId="2" borderId="1" xfId="0" applyNumberFormat="1" applyFont="1" applyFill="1" applyBorder="1" applyProtection="1">
      <protection locked="0"/>
    </xf>
    <xf numFmtId="10" fontId="117" fillId="2" borderId="1" xfId="0" applyNumberFormat="1" applyFont="1" applyFill="1" applyBorder="1" applyProtection="1">
      <protection locked="0"/>
    </xf>
    <xf numFmtId="181" fontId="41" fillId="2" borderId="13" xfId="0" applyNumberFormat="1" applyFont="1" applyFill="1" applyBorder="1" applyProtection="1">
      <protection locked="0"/>
    </xf>
    <xf numFmtId="0" fontId="41" fillId="4" borderId="72" xfId="0" applyFont="1" applyFill="1" applyBorder="1" applyProtection="1"/>
    <xf numFmtId="5" fontId="118" fillId="3" borderId="1" xfId="0" applyNumberFormat="1" applyFont="1" applyFill="1" applyBorder="1" applyProtection="1"/>
    <xf numFmtId="0" fontId="117" fillId="2" borderId="1" xfId="0" applyFont="1" applyFill="1" applyBorder="1" applyProtection="1">
      <protection locked="0"/>
    </xf>
    <xf numFmtId="5" fontId="117" fillId="4" borderId="0" xfId="0" applyNumberFormat="1" applyFont="1" applyFill="1" applyProtection="1"/>
    <xf numFmtId="10" fontId="117" fillId="4" borderId="0" xfId="0" applyNumberFormat="1" applyFont="1" applyFill="1" applyProtection="1"/>
    <xf numFmtId="0" fontId="117" fillId="4" borderId="0" xfId="0" applyFont="1" applyFill="1" applyProtection="1"/>
    <xf numFmtId="5" fontId="49" fillId="3" borderId="11" xfId="0" applyNumberFormat="1" applyFont="1" applyFill="1" applyBorder="1" applyProtection="1"/>
    <xf numFmtId="5" fontId="49" fillId="3" borderId="12" xfId="0" applyNumberFormat="1" applyFont="1" applyFill="1" applyBorder="1" applyProtection="1"/>
    <xf numFmtId="5" fontId="49" fillId="3" borderId="1" xfId="0" applyNumberFormat="1" applyFont="1" applyFill="1" applyBorder="1" applyProtection="1"/>
    <xf numFmtId="5" fontId="49" fillId="3" borderId="7" xfId="0" applyNumberFormat="1" applyFont="1" applyFill="1" applyBorder="1" applyProtection="1"/>
    <xf numFmtId="166" fontId="11" fillId="2" borderId="1" xfId="0" applyNumberFormat="1" applyFont="1" applyFill="1" applyBorder="1" applyAlignment="1" applyProtection="1">
      <alignment horizontal="center"/>
      <protection locked="0"/>
    </xf>
    <xf numFmtId="168" fontId="31" fillId="0" borderId="1" xfId="0" applyNumberFormat="1" applyFont="1" applyFill="1" applyBorder="1" applyAlignment="1" applyProtection="1">
      <alignment horizontal="right"/>
      <protection locked="0"/>
    </xf>
    <xf numFmtId="176" fontId="31" fillId="3" borderId="41" xfId="0" applyNumberFormat="1" applyFont="1" applyFill="1" applyBorder="1" applyAlignment="1" applyProtection="1">
      <alignment horizontal="right"/>
    </xf>
    <xf numFmtId="176" fontId="31" fillId="3" borderId="13" xfId="0" applyNumberFormat="1" applyFont="1" applyFill="1" applyBorder="1" applyAlignment="1" applyProtection="1">
      <alignment horizontal="right"/>
    </xf>
    <xf numFmtId="5" fontId="41" fillId="4" borderId="1" xfId="0" applyNumberFormat="1" applyFont="1" applyFill="1" applyBorder="1" applyAlignment="1" applyProtection="1">
      <alignment horizontal="right"/>
      <protection locked="0"/>
    </xf>
    <xf numFmtId="5" fontId="41" fillId="4" borderId="1" xfId="0" applyNumberFormat="1" applyFont="1" applyFill="1" applyBorder="1" applyProtection="1"/>
    <xf numFmtId="2" fontId="42" fillId="0" borderId="0" xfId="0" applyNumberFormat="1" applyFont="1" applyProtection="1"/>
    <xf numFmtId="0" fontId="115" fillId="4" borderId="0" xfId="0" applyFont="1" applyFill="1" applyProtection="1"/>
    <xf numFmtId="0" fontId="119" fillId="4" borderId="0" xfId="0" applyFont="1" applyFill="1" applyProtection="1"/>
    <xf numFmtId="41" fontId="17" fillId="3" borderId="2" xfId="0" applyNumberFormat="1" applyFont="1" applyFill="1" applyBorder="1" applyProtection="1"/>
    <xf numFmtId="41" fontId="17" fillId="2" borderId="2" xfId="0" applyNumberFormat="1" applyFont="1" applyFill="1" applyBorder="1" applyProtection="1">
      <protection locked="0"/>
    </xf>
    <xf numFmtId="0" fontId="55" fillId="4" borderId="0" xfId="0" applyFont="1" applyFill="1" applyProtection="1"/>
    <xf numFmtId="0" fontId="2" fillId="4" borderId="73" xfId="0" applyFont="1" applyFill="1" applyBorder="1" applyProtection="1"/>
    <xf numFmtId="0" fontId="120" fillId="4" borderId="73" xfId="0" applyFont="1" applyFill="1" applyBorder="1" applyProtection="1"/>
    <xf numFmtId="0" fontId="3" fillId="4" borderId="73" xfId="0" applyFont="1" applyFill="1" applyBorder="1" applyProtection="1"/>
    <xf numFmtId="0" fontId="122" fillId="0" borderId="0" xfId="0" applyFont="1" applyProtection="1"/>
    <xf numFmtId="0" fontId="19" fillId="4" borderId="72" xfId="0" applyFont="1" applyFill="1" applyBorder="1" applyProtection="1"/>
    <xf numFmtId="0" fontId="88" fillId="0" borderId="0" xfId="0" applyFont="1" applyBorder="1" applyProtection="1"/>
    <xf numFmtId="0" fontId="88" fillId="0" borderId="74" xfId="0" applyFont="1" applyBorder="1" applyProtection="1"/>
    <xf numFmtId="0" fontId="88" fillId="0" borderId="75" xfId="0" applyFont="1" applyBorder="1" applyProtection="1"/>
    <xf numFmtId="0" fontId="88" fillId="0" borderId="76" xfId="0" applyFont="1" applyBorder="1" applyProtection="1"/>
    <xf numFmtId="0" fontId="88" fillId="0" borderId="21" xfId="0" applyFont="1" applyBorder="1" applyProtection="1"/>
    <xf numFmtId="0" fontId="88" fillId="0" borderId="77" xfId="0" applyFont="1" applyBorder="1" applyProtection="1"/>
    <xf numFmtId="0" fontId="88" fillId="0" borderId="78" xfId="0" applyFont="1" applyBorder="1" applyProtection="1"/>
    <xf numFmtId="0" fontId="88" fillId="0" borderId="38" xfId="0" applyFont="1" applyBorder="1" applyProtection="1"/>
    <xf numFmtId="0" fontId="88" fillId="0" borderId="79" xfId="0" applyFont="1" applyBorder="1" applyProtection="1"/>
    <xf numFmtId="0" fontId="13" fillId="4" borderId="20" xfId="0" applyFont="1" applyFill="1" applyBorder="1" applyAlignment="1" applyProtection="1">
      <alignment horizontal="center"/>
    </xf>
    <xf numFmtId="0" fontId="52" fillId="4" borderId="20" xfId="0" applyFont="1" applyFill="1" applyBorder="1" applyAlignment="1" applyProtection="1">
      <alignment horizontal="center"/>
    </xf>
    <xf numFmtId="5" fontId="117" fillId="2" borderId="5" xfId="0" applyNumberFormat="1" applyFont="1" applyFill="1" applyBorder="1" applyProtection="1">
      <protection locked="0"/>
    </xf>
    <xf numFmtId="9" fontId="11" fillId="2" borderId="1" xfId="4" applyFont="1" applyFill="1" applyBorder="1" applyAlignment="1" applyProtection="1">
      <alignment horizontal="center"/>
      <protection locked="0"/>
    </xf>
    <xf numFmtId="9" fontId="17" fillId="4" borderId="0" xfId="0" applyNumberFormat="1" applyFont="1" applyFill="1" applyAlignment="1" applyProtection="1">
      <alignment horizontal="left"/>
    </xf>
    <xf numFmtId="49" fontId="17" fillId="4" borderId="0" xfId="4" applyNumberFormat="1" applyFont="1" applyFill="1" applyProtection="1"/>
    <xf numFmtId="9" fontId="31" fillId="0" borderId="0" xfId="0" applyNumberFormat="1" applyFont="1" applyFill="1" applyAlignment="1" applyProtection="1">
      <alignment horizontal="left"/>
    </xf>
    <xf numFmtId="0" fontId="124" fillId="0" borderId="0" xfId="0" applyFont="1" applyProtection="1"/>
    <xf numFmtId="0" fontId="116" fillId="0" borderId="0" xfId="0" applyNumberFormat="1" applyFont="1" applyFill="1" applyAlignment="1" applyProtection="1">
      <alignment horizontal="right"/>
    </xf>
    <xf numFmtId="0" fontId="125" fillId="4" borderId="0" xfId="0" applyFont="1" applyFill="1" applyProtection="1"/>
    <xf numFmtId="0" fontId="106" fillId="4" borderId="0" xfId="0" applyFont="1" applyFill="1" applyBorder="1" applyAlignment="1" applyProtection="1">
      <alignment horizontal="left"/>
      <protection locked="0"/>
    </xf>
    <xf numFmtId="0" fontId="65" fillId="4" borderId="0" xfId="0" applyFont="1" applyFill="1" applyProtection="1"/>
    <xf numFmtId="0" fontId="98" fillId="4" borderId="0" xfId="0" applyFont="1" applyFill="1" applyBorder="1" applyAlignment="1" applyProtection="1">
      <alignment horizontal="centerContinuous"/>
    </xf>
    <xf numFmtId="0" fontId="65" fillId="4" borderId="0" xfId="0" applyFont="1" applyFill="1" applyAlignment="1" applyProtection="1">
      <alignment horizontal="centerContinuous"/>
    </xf>
    <xf numFmtId="0" fontId="57" fillId="0" borderId="0" xfId="0" applyFont="1" applyFill="1" applyProtection="1"/>
    <xf numFmtId="174" fontId="88" fillId="0" borderId="0" xfId="1" applyNumberFormat="1" applyFont="1" applyFill="1" applyAlignment="1" applyProtection="1">
      <alignment horizontal="center"/>
    </xf>
    <xf numFmtId="0" fontId="55" fillId="0" borderId="0" xfId="0" applyFont="1" applyFill="1" applyProtection="1"/>
    <xf numFmtId="0" fontId="55" fillId="0" borderId="0" xfId="0" applyFont="1" applyFill="1" applyBorder="1" applyProtection="1"/>
    <xf numFmtId="164" fontId="49" fillId="0" borderId="0" xfId="0" applyNumberFormat="1" applyFont="1" applyFill="1" applyProtection="1"/>
    <xf numFmtId="164" fontId="49" fillId="0" borderId="0" xfId="0" applyNumberFormat="1" applyFont="1" applyFill="1" applyBorder="1" applyProtection="1"/>
    <xf numFmtId="164" fontId="88" fillId="0" borderId="0" xfId="0" applyNumberFormat="1" applyFont="1" applyFill="1" applyBorder="1" applyProtection="1"/>
    <xf numFmtId="164" fontId="55" fillId="0" borderId="0" xfId="0" applyNumberFormat="1" applyFont="1" applyFill="1" applyBorder="1" applyProtection="1"/>
    <xf numFmtId="0" fontId="56" fillId="0" borderId="0" xfId="0" applyFont="1" applyFill="1" applyProtection="1"/>
    <xf numFmtId="164" fontId="56" fillId="0" borderId="0" xfId="0" applyNumberFormat="1" applyFont="1" applyFill="1" applyBorder="1" applyProtection="1"/>
    <xf numFmtId="164" fontId="52" fillId="0" borderId="0" xfId="0" applyNumberFormat="1" applyFont="1" applyFill="1" applyBorder="1" applyProtection="1"/>
    <xf numFmtId="0" fontId="45" fillId="0" borderId="0" xfId="0" applyFont="1" applyFill="1" applyProtection="1"/>
    <xf numFmtId="0" fontId="88" fillId="4" borderId="0" xfId="0" applyFont="1" applyFill="1" applyAlignment="1" applyProtection="1">
      <alignment horizontal="right"/>
    </xf>
    <xf numFmtId="0" fontId="108" fillId="4" borderId="0" xfId="0" applyFont="1" applyFill="1" applyAlignment="1" applyProtection="1">
      <alignment horizontal="left"/>
      <protection locked="0"/>
    </xf>
    <xf numFmtId="10" fontId="123" fillId="4" borderId="0" xfId="4" applyNumberFormat="1" applyFont="1" applyFill="1" applyProtection="1"/>
    <xf numFmtId="0" fontId="27" fillId="0" borderId="0" xfId="0" applyNumberFormat="1" applyFont="1" applyFill="1" applyAlignment="1" applyProtection="1">
      <alignment horizontal="center"/>
    </xf>
    <xf numFmtId="182" fontId="90" fillId="10" borderId="13" xfId="4" applyNumberFormat="1" applyFont="1" applyFill="1" applyBorder="1" applyAlignment="1" applyProtection="1">
      <alignment horizontal="center"/>
    </xf>
    <xf numFmtId="0" fontId="57" fillId="0" borderId="0" xfId="0" applyFont="1" applyAlignment="1" applyProtection="1">
      <alignment horizontal="center"/>
    </xf>
    <xf numFmtId="0" fontId="31" fillId="3" borderId="3" xfId="0" applyFont="1" applyFill="1" applyBorder="1" applyProtection="1"/>
    <xf numFmtId="0" fontId="31" fillId="3" borderId="5" xfId="0" applyFont="1" applyFill="1" applyBorder="1" applyProtection="1"/>
    <xf numFmtId="5" fontId="13" fillId="4" borderId="19" xfId="0" applyNumberFormat="1" applyFont="1" applyFill="1" applyBorder="1" applyAlignment="1" applyProtection="1">
      <alignment horizontal="center"/>
    </xf>
    <xf numFmtId="5" fontId="13" fillId="4" borderId="80" xfId="0" applyNumberFormat="1" applyFont="1" applyFill="1" applyBorder="1" applyAlignment="1" applyProtection="1">
      <alignment horizontal="center"/>
    </xf>
    <xf numFmtId="5" fontId="11" fillId="2" borderId="81" xfId="0" applyNumberFormat="1" applyFont="1" applyFill="1" applyBorder="1" applyProtection="1">
      <protection locked="0"/>
    </xf>
    <xf numFmtId="14" fontId="79" fillId="0" borderId="0" xfId="0" applyNumberFormat="1" applyFont="1" applyProtection="1"/>
    <xf numFmtId="0" fontId="79" fillId="0" borderId="0" xfId="0" applyFont="1" applyAlignment="1" applyProtection="1">
      <alignment horizontal="right"/>
    </xf>
    <xf numFmtId="0" fontId="48" fillId="0" borderId="0" xfId="0" applyFont="1" applyAlignment="1" applyProtection="1">
      <alignment horizontal="left"/>
    </xf>
    <xf numFmtId="14" fontId="48" fillId="0" borderId="0" xfId="0" applyNumberFormat="1" applyFont="1" applyAlignment="1" applyProtection="1">
      <alignment horizontal="left"/>
    </xf>
    <xf numFmtId="9" fontId="48" fillId="4" borderId="0" xfId="4" applyFont="1" applyFill="1" applyAlignment="1" applyProtection="1">
      <alignment horizontal="center"/>
    </xf>
    <xf numFmtId="0" fontId="126" fillId="0" borderId="0" xfId="0" applyFont="1" applyProtection="1"/>
    <xf numFmtId="0" fontId="102" fillId="0" borderId="0" xfId="0" applyNumberFormat="1" applyFont="1" applyFill="1" applyProtection="1"/>
    <xf numFmtId="9" fontId="31" fillId="4" borderId="0" xfId="0" applyNumberFormat="1" applyFont="1" applyFill="1" applyAlignment="1" applyProtection="1">
      <alignment horizontal="center"/>
    </xf>
    <xf numFmtId="41" fontId="108" fillId="4" borderId="0" xfId="0" applyNumberFormat="1" applyFont="1" applyFill="1" applyProtection="1"/>
    <xf numFmtId="0" fontId="17" fillId="2" borderId="13" xfId="0" applyFont="1" applyFill="1" applyBorder="1" applyAlignment="1" applyProtection="1">
      <alignment horizontal="center"/>
      <protection locked="0"/>
    </xf>
    <xf numFmtId="0" fontId="31" fillId="0" borderId="25" xfId="0" applyFont="1" applyFill="1" applyBorder="1" applyProtection="1"/>
    <xf numFmtId="0" fontId="57" fillId="0" borderId="25" xfId="0" applyFont="1" applyFill="1" applyBorder="1" applyProtection="1"/>
    <xf numFmtId="175" fontId="17" fillId="3" borderId="13" xfId="0" applyNumberFormat="1" applyFont="1" applyFill="1" applyBorder="1" applyProtection="1">
      <protection locked="0"/>
    </xf>
    <xf numFmtId="0" fontId="88" fillId="11" borderId="13" xfId="0" applyFont="1" applyFill="1" applyBorder="1" applyProtection="1">
      <protection locked="0"/>
    </xf>
    <xf numFmtId="0" fontId="88" fillId="11" borderId="82" xfId="0" applyFont="1" applyFill="1" applyBorder="1" applyProtection="1">
      <protection locked="0"/>
    </xf>
    <xf numFmtId="0" fontId="90" fillId="0" borderId="0" xfId="0" applyFont="1"/>
    <xf numFmtId="0" fontId="102" fillId="0" borderId="0" xfId="0" applyFont="1"/>
    <xf numFmtId="49" fontId="90" fillId="0" borderId="0" xfId="0" applyNumberFormat="1" applyFont="1"/>
    <xf numFmtId="0" fontId="128" fillId="0" borderId="0" xfId="0" applyFont="1"/>
    <xf numFmtId="49" fontId="129" fillId="0" borderId="0" xfId="0" applyNumberFormat="1" applyFont="1" applyAlignment="1">
      <alignment horizontal="left"/>
    </xf>
    <xf numFmtId="0" fontId="129" fillId="0" borderId="0" xfId="0" applyFont="1"/>
    <xf numFmtId="49" fontId="130" fillId="0" borderId="0" xfId="0" applyNumberFormat="1" applyFont="1"/>
    <xf numFmtId="0" fontId="90" fillId="0" borderId="0" xfId="0" applyFont="1" applyAlignment="1">
      <alignment horizontal="left"/>
    </xf>
    <xf numFmtId="0" fontId="131" fillId="0" borderId="0" xfId="0" applyFont="1" applyAlignment="1">
      <alignment horizontal="left"/>
    </xf>
    <xf numFmtId="0" fontId="90" fillId="0" borderId="0" xfId="0" applyNumberFormat="1" applyFont="1" applyAlignment="1">
      <alignment horizontal="right"/>
    </xf>
    <xf numFmtId="0" fontId="130" fillId="0" borderId="0" xfId="0" applyFont="1"/>
    <xf numFmtId="0" fontId="90" fillId="0" borderId="0" xfId="0" applyFont="1" applyAlignment="1">
      <alignment horizontal="right"/>
    </xf>
    <xf numFmtId="0" fontId="132" fillId="0" borderId="0" xfId="0" applyFont="1" applyAlignment="1">
      <alignment horizontal="left"/>
    </xf>
    <xf numFmtId="0" fontId="132" fillId="0" borderId="0" xfId="0" applyFont="1"/>
    <xf numFmtId="0" fontId="129" fillId="0" borderId="0" xfId="0" applyFont="1" applyAlignment="1">
      <alignment horizontal="right"/>
    </xf>
    <xf numFmtId="49" fontId="127" fillId="0" borderId="0" xfId="0" applyNumberFormat="1" applyFont="1" applyAlignment="1">
      <alignment horizontal="right"/>
    </xf>
    <xf numFmtId="49" fontId="82" fillId="0" borderId="0" xfId="3" applyNumberFormat="1" applyAlignment="1" applyProtection="1">
      <alignment horizontal="left"/>
    </xf>
    <xf numFmtId="49" fontId="129" fillId="0" borderId="0" xfId="0" applyNumberFormat="1" applyFont="1" applyAlignment="1">
      <alignment horizontal="right"/>
    </xf>
    <xf numFmtId="49" fontId="130" fillId="0" borderId="0" xfId="0" applyNumberFormat="1" applyFont="1" applyAlignment="1">
      <alignment horizontal="right"/>
    </xf>
    <xf numFmtId="0" fontId="133" fillId="0" borderId="0" xfId="0" applyFont="1"/>
    <xf numFmtId="49" fontId="129" fillId="0" borderId="0" xfId="0" quotePrefix="1" applyNumberFormat="1" applyFont="1" applyAlignment="1">
      <alignment horizontal="left"/>
    </xf>
    <xf numFmtId="0" fontId="132" fillId="0" borderId="0" xfId="0" applyFont="1" applyAlignment="1">
      <alignment horizontal="right"/>
    </xf>
    <xf numFmtId="0" fontId="135" fillId="4" borderId="0" xfId="0" applyFont="1" applyFill="1" applyAlignment="1" applyProtection="1">
      <alignment horizontal="left"/>
    </xf>
    <xf numFmtId="0" fontId="135" fillId="4" borderId="0" xfId="0" applyFont="1" applyFill="1" applyProtection="1"/>
    <xf numFmtId="0" fontId="17" fillId="4" borderId="83" xfId="0" applyFont="1" applyFill="1" applyBorder="1" applyAlignment="1" applyProtection="1">
      <alignment horizontal="center"/>
      <protection locked="0"/>
    </xf>
    <xf numFmtId="180" fontId="41" fillId="2" borderId="39" xfId="0" applyNumberFormat="1" applyFont="1" applyFill="1" applyBorder="1" applyAlignment="1" applyProtection="1">
      <alignment horizontal="left"/>
      <protection locked="0"/>
    </xf>
    <xf numFmtId="180" fontId="41" fillId="2" borderId="83" xfId="0" applyNumberFormat="1" applyFont="1" applyFill="1" applyBorder="1" applyAlignment="1" applyProtection="1">
      <alignment horizontal="right"/>
      <protection locked="0"/>
    </xf>
    <xf numFmtId="0" fontId="17" fillId="4" borderId="39" xfId="0" applyFont="1" applyFill="1" applyBorder="1" applyAlignment="1" applyProtection="1">
      <alignment horizontal="left"/>
      <protection locked="0"/>
    </xf>
    <xf numFmtId="49" fontId="133" fillId="0" borderId="0" xfId="3" applyNumberFormat="1" applyFont="1" applyAlignment="1" applyProtection="1">
      <alignment horizontal="left"/>
    </xf>
    <xf numFmtId="49" fontId="136" fillId="0" borderId="0" xfId="3" applyNumberFormat="1" applyFont="1" applyAlignment="1" applyProtection="1">
      <alignment horizontal="left"/>
    </xf>
    <xf numFmtId="0" fontId="56" fillId="3" borderId="13" xfId="0" applyFont="1" applyFill="1" applyBorder="1" applyAlignment="1" applyProtection="1">
      <alignment horizontal="center"/>
    </xf>
    <xf numFmtId="0" fontId="0" fillId="0" borderId="0" xfId="0" applyBorder="1" applyAlignment="1"/>
    <xf numFmtId="0" fontId="2" fillId="4" borderId="0" xfId="0" applyFont="1" applyFill="1" applyBorder="1" applyProtection="1"/>
    <xf numFmtId="0" fontId="0" fillId="0" borderId="0" xfId="0" applyBorder="1" applyAlignment="1">
      <alignment horizontal="center"/>
    </xf>
    <xf numFmtId="0" fontId="55" fillId="4" borderId="0" xfId="0" applyFont="1" applyFill="1" applyBorder="1" applyAlignment="1" applyProtection="1">
      <alignment horizontal="center"/>
    </xf>
    <xf numFmtId="0" fontId="49" fillId="4" borderId="0" xfId="0" applyFont="1" applyFill="1" applyBorder="1" applyAlignment="1" applyProtection="1">
      <alignment vertical="center" wrapText="1"/>
      <protection locked="0"/>
    </xf>
    <xf numFmtId="182" fontId="117" fillId="2" borderId="13" xfId="4" applyNumberFormat="1" applyFont="1" applyFill="1" applyBorder="1" applyProtection="1">
      <protection locked="0"/>
    </xf>
    <xf numFmtId="3" fontId="11" fillId="2" borderId="13" xfId="0" applyNumberFormat="1" applyFont="1" applyFill="1" applyBorder="1" applyAlignment="1" applyProtection="1">
      <protection locked="0"/>
    </xf>
    <xf numFmtId="5" fontId="118" fillId="0" borderId="1" xfId="0" applyNumberFormat="1" applyFont="1" applyFill="1" applyBorder="1" applyProtection="1">
      <protection locked="0"/>
    </xf>
    <xf numFmtId="0" fontId="41" fillId="0" borderId="25" xfId="0" applyFont="1" applyFill="1" applyBorder="1" applyProtection="1"/>
    <xf numFmtId="0" fontId="41" fillId="0" borderId="0" xfId="0" applyFont="1" applyFill="1" applyBorder="1" applyProtection="1"/>
    <xf numFmtId="0" fontId="57" fillId="2" borderId="5" xfId="0" applyFont="1" applyFill="1" applyBorder="1" applyAlignment="1" applyProtection="1">
      <alignment horizontal="center"/>
      <protection locked="0"/>
    </xf>
    <xf numFmtId="0" fontId="137" fillId="0" borderId="0" xfId="0" applyFont="1" applyProtection="1"/>
    <xf numFmtId="0" fontId="88" fillId="0" borderId="0" xfId="0" applyFont="1" applyAlignment="1" applyProtection="1">
      <alignment horizontal="left"/>
    </xf>
    <xf numFmtId="0" fontId="88" fillId="0" borderId="84" xfId="0" applyFont="1" applyBorder="1" applyAlignment="1" applyProtection="1">
      <alignment horizontal="left"/>
    </xf>
    <xf numFmtId="0" fontId="88" fillId="0" borderId="85" xfId="0" applyFont="1" applyBorder="1" applyAlignment="1" applyProtection="1">
      <alignment horizontal="left"/>
    </xf>
    <xf numFmtId="0" fontId="88" fillId="0" borderId="85" xfId="0" applyFont="1" applyBorder="1" applyProtection="1"/>
    <xf numFmtId="0" fontId="88" fillId="0" borderId="86" xfId="0" applyFont="1" applyBorder="1" applyProtection="1"/>
    <xf numFmtId="0" fontId="88" fillId="0" borderId="87" xfId="0" applyFont="1" applyBorder="1" applyAlignment="1" applyProtection="1">
      <alignment horizontal="left"/>
    </xf>
    <xf numFmtId="0" fontId="88" fillId="0" borderId="88" xfId="0" applyFont="1" applyBorder="1" applyProtection="1"/>
    <xf numFmtId="0" fontId="88" fillId="0" borderId="89" xfId="0" applyFont="1" applyBorder="1" applyAlignment="1" applyProtection="1">
      <alignment horizontal="left"/>
    </xf>
    <xf numFmtId="0" fontId="88" fillId="0" borderId="90" xfId="0" applyFont="1" applyBorder="1" applyProtection="1"/>
    <xf numFmtId="0" fontId="88" fillId="0" borderId="91" xfId="0" applyFont="1" applyBorder="1" applyProtection="1"/>
    <xf numFmtId="0" fontId="88" fillId="0" borderId="0" xfId="0" applyFont="1" applyAlignment="1" applyProtection="1">
      <alignment horizontal="right"/>
    </xf>
    <xf numFmtId="0" fontId="138" fillId="0" borderId="85" xfId="0" applyFont="1" applyBorder="1" applyProtection="1"/>
    <xf numFmtId="0" fontId="138" fillId="0" borderId="0" xfId="0" applyFont="1" applyBorder="1" applyProtection="1"/>
    <xf numFmtId="0" fontId="88" fillId="0" borderId="89" xfId="0" applyFont="1" applyBorder="1" applyAlignment="1" applyProtection="1">
      <alignment horizontal="right"/>
    </xf>
    <xf numFmtId="0" fontId="88" fillId="0" borderId="90" xfId="0" applyFont="1" applyBorder="1" applyAlignment="1" applyProtection="1">
      <alignment horizontal="left"/>
    </xf>
    <xf numFmtId="0" fontId="138" fillId="0" borderId="90" xfId="0" applyFont="1" applyBorder="1" applyProtection="1"/>
    <xf numFmtId="0" fontId="57" fillId="0" borderId="0" xfId="0" applyFont="1" applyProtection="1">
      <protection locked="0"/>
    </xf>
    <xf numFmtId="49" fontId="41" fillId="4" borderId="18" xfId="0" applyNumberFormat="1" applyFont="1" applyFill="1" applyBorder="1" applyProtection="1"/>
    <xf numFmtId="0" fontId="41" fillId="4" borderId="0" xfId="0" applyFont="1" applyFill="1" applyAlignment="1" applyProtection="1">
      <alignment horizontal="center"/>
    </xf>
    <xf numFmtId="3" fontId="134" fillId="13" borderId="92" xfId="0" applyNumberFormat="1" applyFont="1" applyFill="1" applyBorder="1" applyProtection="1">
      <protection locked="0"/>
    </xf>
    <xf numFmtId="3" fontId="134" fillId="13" borderId="93" xfId="0" applyNumberFormat="1" applyFont="1" applyFill="1" applyBorder="1" applyProtection="1">
      <protection locked="0"/>
    </xf>
    <xf numFmtId="3" fontId="134" fillId="13" borderId="94" xfId="0" applyNumberFormat="1" applyFont="1" applyFill="1" applyBorder="1" applyProtection="1">
      <protection locked="0"/>
    </xf>
    <xf numFmtId="3" fontId="134" fillId="13" borderId="95" xfId="0" applyNumberFormat="1" applyFont="1" applyFill="1" applyBorder="1" applyProtection="1">
      <protection locked="0"/>
    </xf>
    <xf numFmtId="3" fontId="134" fillId="13" borderId="96" xfId="0" applyNumberFormat="1" applyFont="1" applyFill="1" applyBorder="1" applyProtection="1">
      <protection locked="0"/>
    </xf>
    <xf numFmtId="3" fontId="134" fillId="13" borderId="97" xfId="0" applyNumberFormat="1" applyFont="1" applyFill="1" applyBorder="1" applyProtection="1">
      <protection locked="0"/>
    </xf>
    <xf numFmtId="3" fontId="134" fillId="13" borderId="98" xfId="0" applyNumberFormat="1" applyFont="1" applyFill="1" applyBorder="1" applyProtection="1">
      <protection locked="0"/>
    </xf>
    <xf numFmtId="3" fontId="134" fillId="13" borderId="99" xfId="0" applyNumberFormat="1" applyFont="1" applyFill="1" applyBorder="1" applyProtection="1">
      <protection locked="0"/>
    </xf>
    <xf numFmtId="3" fontId="134" fillId="13" borderId="100" xfId="0" applyNumberFormat="1" applyFont="1" applyFill="1" applyBorder="1" applyProtection="1">
      <protection locked="0"/>
    </xf>
    <xf numFmtId="3" fontId="134" fillId="13" borderId="13" xfId="0" applyNumberFormat="1" applyFont="1" applyFill="1" applyBorder="1" applyProtection="1">
      <protection locked="0"/>
    </xf>
    <xf numFmtId="3" fontId="134" fillId="13" borderId="101" xfId="0" applyNumberFormat="1" applyFont="1" applyFill="1" applyBorder="1" applyProtection="1">
      <protection locked="0"/>
    </xf>
    <xf numFmtId="49" fontId="17" fillId="2" borderId="3" xfId="0" applyNumberFormat="1" applyFont="1" applyFill="1" applyBorder="1" applyProtection="1">
      <protection locked="0"/>
    </xf>
    <xf numFmtId="49" fontId="17" fillId="2" borderId="5" xfId="0" applyNumberFormat="1" applyFont="1" applyFill="1" applyBorder="1" applyProtection="1">
      <protection locked="0"/>
    </xf>
    <xf numFmtId="171" fontId="90" fillId="3" borderId="13" xfId="0" applyNumberFormat="1" applyFont="1" applyFill="1" applyBorder="1" applyAlignment="1" applyProtection="1">
      <alignment horizontal="center"/>
    </xf>
    <xf numFmtId="0" fontId="49" fillId="0" borderId="39" xfId="0" applyFont="1" applyFill="1" applyBorder="1" applyAlignment="1" applyProtection="1">
      <alignment vertical="center" wrapText="1"/>
      <protection locked="0"/>
    </xf>
    <xf numFmtId="0" fontId="49" fillId="4" borderId="44" xfId="0" applyFont="1" applyFill="1" applyBorder="1" applyAlignment="1" applyProtection="1">
      <alignment vertical="center" wrapText="1"/>
      <protection locked="0"/>
    </xf>
    <xf numFmtId="0" fontId="49" fillId="0" borderId="44" xfId="0" applyFont="1" applyFill="1" applyBorder="1" applyAlignment="1" applyProtection="1">
      <alignment vertical="center" wrapText="1"/>
      <protection locked="0"/>
    </xf>
    <xf numFmtId="0" fontId="49" fillId="0" borderId="40" xfId="0" applyFont="1" applyFill="1" applyBorder="1" applyAlignment="1" applyProtection="1">
      <alignment vertical="center" wrapText="1"/>
      <protection locked="0"/>
    </xf>
    <xf numFmtId="0" fontId="49" fillId="0" borderId="33" xfId="0" applyFont="1" applyFill="1" applyBorder="1" applyAlignment="1" applyProtection="1">
      <alignment vertical="center" wrapText="1"/>
      <protection locked="0"/>
    </xf>
    <xf numFmtId="0" fontId="115" fillId="0" borderId="0" xfId="0" applyFont="1" applyFill="1" applyProtection="1">
      <protection hidden="1"/>
    </xf>
    <xf numFmtId="0" fontId="45" fillId="0" borderId="0" xfId="0" applyFont="1" applyProtection="1">
      <protection hidden="1"/>
    </xf>
    <xf numFmtId="0" fontId="107" fillId="0" borderId="0" xfId="0" applyFont="1" applyProtection="1">
      <protection hidden="1"/>
    </xf>
    <xf numFmtId="5" fontId="0" fillId="4" borderId="0" xfId="0" applyNumberFormat="1" applyFill="1" applyBorder="1" applyProtection="1"/>
    <xf numFmtId="0" fontId="88" fillId="0" borderId="0" xfId="0" applyFont="1" applyFill="1" applyBorder="1" applyProtection="1"/>
    <xf numFmtId="49" fontId="41" fillId="2" borderId="13" xfId="0" applyNumberFormat="1" applyFont="1" applyFill="1" applyBorder="1" applyAlignment="1" applyProtection="1">
      <alignment horizontal="center"/>
      <protection locked="0"/>
    </xf>
    <xf numFmtId="49" fontId="57" fillId="0" borderId="4" xfId="0" applyNumberFormat="1" applyFont="1" applyBorder="1" applyAlignment="1" applyProtection="1">
      <alignment wrapText="1"/>
      <protection locked="0"/>
    </xf>
    <xf numFmtId="0" fontId="17" fillId="4" borderId="0" xfId="0" applyFont="1" applyFill="1" applyAlignment="1" applyProtection="1"/>
    <xf numFmtId="3" fontId="88" fillId="8" borderId="0" xfId="0" applyNumberFormat="1" applyFont="1" applyFill="1" applyAlignment="1" applyProtection="1">
      <alignment horizontal="center"/>
    </xf>
    <xf numFmtId="4" fontId="88" fillId="8" borderId="0" xfId="0" applyNumberFormat="1" applyFont="1" applyFill="1" applyAlignment="1" applyProtection="1">
      <alignment horizontal="center"/>
    </xf>
    <xf numFmtId="10" fontId="88" fillId="8" borderId="0" xfId="0" applyNumberFormat="1" applyFont="1" applyFill="1" applyAlignment="1" applyProtection="1">
      <alignment horizontal="center"/>
    </xf>
    <xf numFmtId="0" fontId="88" fillId="8" borderId="0" xfId="0" applyFont="1" applyFill="1" applyAlignment="1" applyProtection="1">
      <alignment horizontal="center"/>
    </xf>
    <xf numFmtId="174" fontId="55" fillId="0" borderId="0" xfId="1" applyNumberFormat="1" applyFont="1" applyAlignment="1" applyProtection="1">
      <alignment horizontal="center"/>
    </xf>
    <xf numFmtId="174" fontId="0" fillId="0" borderId="0" xfId="0" applyNumberFormat="1" applyAlignment="1">
      <alignment horizontal="center"/>
    </xf>
    <xf numFmtId="0" fontId="1" fillId="0" borderId="0" xfId="0" applyFont="1" applyAlignment="1" applyProtection="1"/>
    <xf numFmtId="0" fontId="61" fillId="0" borderId="0" xfId="0" applyFont="1" applyAlignment="1" applyProtection="1"/>
    <xf numFmtId="0" fontId="88" fillId="8" borderId="16" xfId="0" applyFont="1" applyFill="1" applyBorder="1" applyAlignment="1" applyProtection="1"/>
    <xf numFmtId="0" fontId="103" fillId="8" borderId="0" xfId="0" applyFont="1" applyFill="1" applyAlignment="1" applyProtection="1"/>
    <xf numFmtId="0" fontId="57" fillId="0" borderId="0" xfId="0" applyFont="1" applyAlignment="1" applyProtection="1"/>
    <xf numFmtId="0" fontId="42" fillId="0" borderId="0" xfId="0" applyFont="1" applyAlignment="1" applyProtection="1"/>
    <xf numFmtId="174" fontId="88" fillId="8" borderId="0" xfId="1" applyNumberFormat="1" applyFont="1" applyFill="1" applyAlignment="1" applyProtection="1"/>
    <xf numFmtId="174" fontId="55" fillId="0" borderId="0" xfId="1" applyNumberFormat="1" applyFont="1" applyAlignment="1" applyProtection="1"/>
    <xf numFmtId="174" fontId="0" fillId="0" borderId="0" xfId="0" applyNumberFormat="1" applyAlignment="1"/>
    <xf numFmtId="164" fontId="55" fillId="9" borderId="9" xfId="0" applyNumberFormat="1" applyFont="1" applyFill="1" applyBorder="1" applyAlignment="1" applyProtection="1"/>
    <xf numFmtId="0" fontId="55" fillId="0" borderId="0" xfId="0" applyFont="1" applyFill="1" applyBorder="1" applyAlignment="1" applyProtection="1"/>
    <xf numFmtId="164" fontId="49" fillId="0" borderId="0" xfId="0" applyNumberFormat="1" applyFont="1" applyFill="1" applyBorder="1" applyAlignment="1" applyProtection="1"/>
    <xf numFmtId="164" fontId="55" fillId="0" borderId="0" xfId="0" applyNumberFormat="1" applyFont="1" applyFill="1" applyBorder="1" applyAlignment="1" applyProtection="1"/>
    <xf numFmtId="164" fontId="88" fillId="0" borderId="0" xfId="0" applyNumberFormat="1" applyFont="1" applyFill="1" applyBorder="1" applyAlignment="1" applyProtection="1"/>
    <xf numFmtId="164" fontId="56" fillId="0" borderId="0" xfId="0" applyNumberFormat="1" applyFont="1" applyFill="1" applyBorder="1" applyAlignment="1" applyProtection="1"/>
    <xf numFmtId="164" fontId="52" fillId="0" borderId="0" xfId="0" applyNumberFormat="1" applyFont="1" applyFill="1" applyBorder="1" applyAlignment="1" applyProtection="1"/>
    <xf numFmtId="0" fontId="57" fillId="0" borderId="0" xfId="0" applyFont="1" applyFill="1" applyAlignment="1" applyProtection="1"/>
    <xf numFmtId="0" fontId="42" fillId="0" borderId="0" xfId="0" applyFont="1" applyFill="1" applyAlignment="1" applyProtection="1"/>
    <xf numFmtId="0" fontId="141" fillId="0" borderId="0" xfId="0" applyFont="1" applyAlignment="1" applyProtection="1">
      <alignment horizontal="left"/>
    </xf>
    <xf numFmtId="0" fontId="90" fillId="0" borderId="0" xfId="0" applyFont="1" applyAlignment="1" applyProtection="1">
      <alignment horizontal="left" wrapText="1"/>
    </xf>
    <xf numFmtId="0" fontId="90" fillId="0" borderId="13" xfId="0" applyFont="1" applyBorder="1" applyAlignment="1" applyProtection="1">
      <alignment horizontal="left" wrapText="1"/>
    </xf>
    <xf numFmtId="0" fontId="90" fillId="2" borderId="43" xfId="0" applyFont="1" applyFill="1" applyBorder="1" applyAlignment="1" applyProtection="1">
      <alignment horizontal="left" wrapText="1"/>
      <protection locked="0"/>
    </xf>
    <xf numFmtId="0" fontId="90" fillId="2" borderId="13" xfId="0" applyFont="1" applyFill="1" applyBorder="1" applyAlignment="1" applyProtection="1">
      <alignment horizontal="left" wrapText="1"/>
      <protection locked="0"/>
    </xf>
    <xf numFmtId="175" fontId="90" fillId="2" borderId="13" xfId="0" applyNumberFormat="1" applyFont="1" applyFill="1" applyBorder="1" applyAlignment="1" applyProtection="1">
      <alignment wrapText="1"/>
      <protection locked="0"/>
    </xf>
    <xf numFmtId="0" fontId="90" fillId="3" borderId="13" xfId="0" applyFont="1" applyFill="1" applyBorder="1" applyAlignment="1" applyProtection="1">
      <alignment horizontal="left" wrapText="1"/>
    </xf>
    <xf numFmtId="175" fontId="90" fillId="3" borderId="13" xfId="0" applyNumberFormat="1" applyFont="1" applyFill="1" applyBorder="1" applyAlignment="1" applyProtection="1">
      <alignment horizontal="left" wrapText="1"/>
    </xf>
    <xf numFmtId="0" fontId="90" fillId="0" borderId="13" xfId="0" applyFont="1" applyBorder="1" applyAlignment="1" applyProtection="1">
      <alignment wrapText="1"/>
    </xf>
    <xf numFmtId="0" fontId="90" fillId="0" borderId="83" xfId="0" applyFont="1" applyBorder="1" applyAlignment="1" applyProtection="1">
      <alignment wrapText="1"/>
    </xf>
    <xf numFmtId="0" fontId="90" fillId="2" borderId="13" xfId="0" applyFont="1" applyFill="1" applyBorder="1" applyAlignment="1" applyProtection="1">
      <alignment wrapText="1"/>
      <protection locked="0"/>
    </xf>
    <xf numFmtId="0" fontId="90" fillId="3" borderId="13" xfId="0" applyFont="1" applyFill="1" applyBorder="1" applyAlignment="1" applyProtection="1">
      <alignment wrapText="1"/>
    </xf>
    <xf numFmtId="170" fontId="90" fillId="2" borderId="43" xfId="0" applyNumberFormat="1" applyFont="1" applyFill="1" applyBorder="1" applyAlignment="1" applyProtection="1">
      <alignment horizontal="left" wrapText="1"/>
      <protection locked="0"/>
    </xf>
    <xf numFmtId="170" fontId="90" fillId="2" borderId="13" xfId="0" applyNumberFormat="1" applyFont="1" applyFill="1" applyBorder="1" applyAlignment="1" applyProtection="1">
      <alignment horizontal="left" wrapText="1"/>
      <protection locked="0"/>
    </xf>
    <xf numFmtId="170" fontId="90" fillId="2" borderId="13" xfId="0" applyNumberFormat="1" applyFont="1" applyFill="1" applyBorder="1" applyAlignment="1" applyProtection="1">
      <alignment wrapText="1"/>
      <protection locked="0"/>
    </xf>
    <xf numFmtId="10" fontId="90" fillId="2" borderId="13" xfId="0" applyNumberFormat="1" applyFont="1" applyFill="1" applyBorder="1" applyAlignment="1" applyProtection="1">
      <alignment horizontal="left" wrapText="1"/>
      <protection locked="0"/>
    </xf>
    <xf numFmtId="184" fontId="90" fillId="2" borderId="13" xfId="0" applyNumberFormat="1" applyFont="1" applyFill="1" applyBorder="1" applyAlignment="1" applyProtection="1">
      <alignment horizontal="left" wrapText="1"/>
      <protection locked="0"/>
    </xf>
    <xf numFmtId="0" fontId="90" fillId="14" borderId="0" xfId="0" applyFont="1" applyFill="1" applyAlignment="1" applyProtection="1">
      <alignment horizontal="left" wrapText="1"/>
    </xf>
    <xf numFmtId="0" fontId="90" fillId="0" borderId="0" xfId="0" applyFont="1" applyFill="1" applyAlignment="1" applyProtection="1">
      <alignment horizontal="left" wrapText="1"/>
    </xf>
    <xf numFmtId="0" fontId="139" fillId="0" borderId="102" xfId="0" applyFont="1" applyBorder="1" applyAlignment="1" applyProtection="1">
      <alignment horizontal="left"/>
    </xf>
    <xf numFmtId="0" fontId="139" fillId="0" borderId="0" xfId="0" applyFont="1" applyAlignment="1" applyProtection="1">
      <alignment horizontal="right" wrapText="1"/>
    </xf>
    <xf numFmtId="0" fontId="139" fillId="0" borderId="0" xfId="0" applyFont="1"/>
    <xf numFmtId="0" fontId="143" fillId="0" borderId="0" xfId="0" applyFont="1" applyAlignment="1">
      <alignment horizontal="center"/>
    </xf>
    <xf numFmtId="0" fontId="139" fillId="0" borderId="0" xfId="0" applyFont="1" applyAlignment="1">
      <alignment horizontal="right"/>
    </xf>
    <xf numFmtId="170" fontId="139" fillId="2" borderId="13" xfId="0" applyNumberFormat="1" applyFont="1" applyFill="1" applyBorder="1" applyProtection="1">
      <protection locked="0"/>
    </xf>
    <xf numFmtId="170" fontId="139" fillId="0" borderId="0" xfId="0" applyNumberFormat="1" applyFont="1" applyFill="1" applyBorder="1"/>
    <xf numFmtId="0" fontId="144" fillId="0" borderId="0" xfId="0" applyFont="1" applyFill="1" applyBorder="1" applyAlignment="1">
      <alignment horizontal="left"/>
    </xf>
    <xf numFmtId="0" fontId="139" fillId="0" borderId="0" xfId="0" applyFont="1" applyFill="1" applyBorder="1"/>
    <xf numFmtId="0" fontId="145" fillId="0" borderId="0" xfId="0" applyFont="1"/>
    <xf numFmtId="0" fontId="145" fillId="0" borderId="83" xfId="0" applyFont="1" applyFill="1" applyBorder="1"/>
    <xf numFmtId="184" fontId="139" fillId="2" borderId="83" xfId="0" applyNumberFormat="1" applyFont="1" applyFill="1" applyBorder="1" applyProtection="1">
      <protection locked="0"/>
    </xf>
    <xf numFmtId="183" fontId="139" fillId="2" borderId="83" xfId="0" applyNumberFormat="1" applyFont="1" applyFill="1" applyBorder="1" applyProtection="1">
      <protection locked="0"/>
    </xf>
    <xf numFmtId="170" fontId="139" fillId="2" borderId="83" xfId="0" applyNumberFormat="1" applyFont="1" applyFill="1" applyBorder="1" applyProtection="1">
      <protection locked="0"/>
    </xf>
    <xf numFmtId="0" fontId="139" fillId="2" borderId="83" xfId="0" applyFont="1" applyFill="1" applyBorder="1" applyProtection="1">
      <protection locked="0"/>
    </xf>
    <xf numFmtId="0" fontId="145" fillId="0" borderId="13" xfId="0" applyFont="1" applyFill="1" applyBorder="1"/>
    <xf numFmtId="184" fontId="139" fillId="2" borderId="13" xfId="0" applyNumberFormat="1" applyFont="1" applyFill="1" applyBorder="1" applyProtection="1">
      <protection locked="0"/>
    </xf>
    <xf numFmtId="183" fontId="139" fillId="2" borderId="13" xfId="0" applyNumberFormat="1" applyFont="1" applyFill="1" applyBorder="1" applyProtection="1">
      <protection locked="0"/>
    </xf>
    <xf numFmtId="0" fontId="139" fillId="2" borderId="13" xfId="0" applyFont="1" applyFill="1" applyBorder="1" applyProtection="1">
      <protection locked="0"/>
    </xf>
    <xf numFmtId="183" fontId="139" fillId="0" borderId="0" xfId="0" applyNumberFormat="1" applyFont="1" applyFill="1" applyBorder="1"/>
    <xf numFmtId="0" fontId="139" fillId="0" borderId="0" xfId="0" applyFont="1" applyFill="1"/>
    <xf numFmtId="0" fontId="86" fillId="0" borderId="0" xfId="0" applyFont="1" applyAlignment="1">
      <alignment horizontal="left"/>
    </xf>
    <xf numFmtId="0" fontId="148" fillId="14" borderId="0" xfId="0" applyFont="1" applyFill="1"/>
    <xf numFmtId="0" fontId="148" fillId="14" borderId="0" xfId="0" applyFont="1" applyFill="1" applyAlignment="1">
      <alignment vertical="top" wrapText="1"/>
    </xf>
    <xf numFmtId="0" fontId="148" fillId="0" borderId="0" xfId="0" applyFont="1"/>
    <xf numFmtId="0" fontId="144" fillId="0" borderId="0" xfId="0" applyFont="1"/>
    <xf numFmtId="0" fontId="144" fillId="0" borderId="0" xfId="0" applyFont="1" applyAlignment="1">
      <alignment wrapText="1"/>
    </xf>
    <xf numFmtId="0" fontId="139" fillId="0" borderId="0" xfId="0" applyFont="1" applyAlignment="1">
      <alignment horizontal="left"/>
    </xf>
    <xf numFmtId="0" fontId="139" fillId="0" borderId="0" xfId="0" applyFont="1" applyBorder="1" applyAlignment="1">
      <alignment horizontal="center"/>
    </xf>
    <xf numFmtId="0" fontId="149" fillId="0" borderId="0" xfId="0" applyFont="1"/>
    <xf numFmtId="0" fontId="139" fillId="0" borderId="0" xfId="0" applyFont="1" applyAlignment="1">
      <alignment wrapText="1"/>
    </xf>
    <xf numFmtId="170" fontId="0" fillId="0" borderId="0" xfId="0" applyNumberFormat="1" applyBorder="1" applyAlignment="1" applyProtection="1">
      <protection locked="0"/>
    </xf>
    <xf numFmtId="170" fontId="139" fillId="2" borderId="41" xfId="0" applyNumberFormat="1" applyFont="1" applyFill="1" applyBorder="1" applyAlignment="1" applyProtection="1">
      <alignment horizontal="center"/>
      <protection locked="0"/>
    </xf>
    <xf numFmtId="170" fontId="0" fillId="0" borderId="0" xfId="0" applyNumberFormat="1" applyFill="1" applyBorder="1" applyAlignment="1" applyProtection="1">
      <protection locked="0"/>
    </xf>
    <xf numFmtId="0" fontId="40" fillId="0" borderId="0" xfId="0" applyFont="1" applyProtection="1">
      <protection locked="0"/>
    </xf>
    <xf numFmtId="0" fontId="11" fillId="0" borderId="0" xfId="0" applyFont="1" applyFill="1" applyBorder="1" applyAlignment="1" applyProtection="1">
      <alignment vertical="top"/>
    </xf>
    <xf numFmtId="0" fontId="0" fillId="0" borderId="0" xfId="0" applyFill="1" applyBorder="1" applyAlignment="1" applyProtection="1">
      <alignment vertical="top"/>
    </xf>
    <xf numFmtId="0" fontId="49" fillId="0" borderId="0" xfId="0" applyFont="1" applyAlignment="1" applyProtection="1">
      <alignment horizontal="center"/>
      <protection locked="0"/>
    </xf>
    <xf numFmtId="0" fontId="11" fillId="4" borderId="0" xfId="0" applyFont="1" applyFill="1" applyAlignment="1" applyProtection="1">
      <alignment horizontal="left"/>
      <protection locked="0"/>
    </xf>
    <xf numFmtId="175" fontId="90" fillId="2" borderId="13" xfId="0" applyNumberFormat="1" applyFont="1" applyFill="1" applyBorder="1" applyAlignment="1" applyProtection="1">
      <alignment horizontal="right" wrapText="1"/>
      <protection locked="0"/>
    </xf>
    <xf numFmtId="175" fontId="90" fillId="2" borderId="43" xfId="0" applyNumberFormat="1" applyFont="1" applyFill="1" applyBorder="1" applyAlignment="1" applyProtection="1">
      <alignment horizontal="right" wrapText="1"/>
      <protection locked="0"/>
    </xf>
    <xf numFmtId="175" fontId="90" fillId="3" borderId="13" xfId="0" applyNumberFormat="1" applyFont="1" applyFill="1" applyBorder="1" applyAlignment="1" applyProtection="1">
      <alignment horizontal="right" wrapText="1"/>
    </xf>
    <xf numFmtId="175" fontId="90" fillId="3" borderId="13" xfId="0" applyNumberFormat="1" applyFont="1" applyFill="1" applyBorder="1" applyAlignment="1" applyProtection="1">
      <alignment wrapText="1"/>
    </xf>
    <xf numFmtId="0" fontId="0" fillId="0" borderId="0" xfId="0" applyAlignment="1" applyProtection="1">
      <alignment horizontal="right"/>
    </xf>
    <xf numFmtId="0" fontId="90" fillId="0" borderId="0" xfId="0" applyFont="1" applyAlignment="1" applyProtection="1">
      <alignment horizontal="right" wrapText="1"/>
    </xf>
    <xf numFmtId="0" fontId="56" fillId="0" borderId="0" xfId="0" applyFont="1"/>
    <xf numFmtId="2" fontId="117" fillId="2" borderId="3" xfId="0" applyNumberFormat="1" applyFont="1" applyFill="1" applyBorder="1" applyProtection="1">
      <protection locked="0"/>
    </xf>
    <xf numFmtId="2" fontId="117" fillId="2" borderId="1" xfId="0" applyNumberFormat="1" applyFont="1" applyFill="1" applyBorder="1" applyProtection="1">
      <protection locked="0"/>
    </xf>
    <xf numFmtId="2" fontId="2" fillId="4" borderId="0" xfId="0" applyNumberFormat="1" applyFont="1" applyFill="1" applyProtection="1"/>
    <xf numFmtId="0" fontId="0" fillId="0" borderId="0" xfId="0" applyAlignment="1"/>
    <xf numFmtId="0" fontId="88" fillId="0" borderId="74" xfId="0" applyFont="1" applyFill="1" applyBorder="1" applyProtection="1"/>
    <xf numFmtId="0" fontId="88" fillId="0" borderId="75" xfId="0" applyFont="1" applyFill="1" applyBorder="1" applyProtection="1"/>
    <xf numFmtId="0" fontId="88" fillId="0" borderId="76" xfId="0" applyFont="1" applyFill="1" applyBorder="1" applyProtection="1"/>
    <xf numFmtId="0" fontId="88" fillId="0" borderId="21" xfId="0" applyFont="1" applyFill="1" applyBorder="1" applyProtection="1"/>
    <xf numFmtId="0" fontId="88" fillId="0" borderId="77" xfId="0" applyFont="1" applyFill="1" applyBorder="1" applyProtection="1"/>
    <xf numFmtId="0" fontId="88" fillId="0" borderId="78" xfId="0" applyFont="1" applyFill="1" applyBorder="1" applyProtection="1"/>
    <xf numFmtId="0" fontId="88" fillId="0" borderId="38" xfId="0" applyFont="1" applyFill="1" applyBorder="1" applyProtection="1"/>
    <xf numFmtId="0" fontId="88" fillId="0" borderId="79" xfId="0" applyFont="1" applyFill="1" applyBorder="1" applyProtection="1"/>
    <xf numFmtId="0" fontId="31" fillId="4" borderId="29" xfId="0" applyFont="1" applyFill="1" applyBorder="1" applyProtection="1">
      <protection locked="0"/>
    </xf>
    <xf numFmtId="0" fontId="31" fillId="4" borderId="30" xfId="0" quotePrefix="1" applyFont="1" applyFill="1" applyBorder="1" applyProtection="1">
      <protection locked="0"/>
    </xf>
    <xf numFmtId="0" fontId="31" fillId="4" borderId="30" xfId="0" quotePrefix="1" applyFont="1" applyFill="1" applyBorder="1" applyAlignment="1" applyProtection="1">
      <alignment horizontal="left"/>
      <protection locked="0"/>
    </xf>
    <xf numFmtId="0" fontId="31" fillId="4" borderId="0" xfId="0" applyFont="1" applyFill="1" applyBorder="1" applyProtection="1">
      <protection locked="0"/>
    </xf>
    <xf numFmtId="0" fontId="31" fillId="4" borderId="0" xfId="0" quotePrefix="1" applyFont="1" applyFill="1" applyBorder="1" applyProtection="1">
      <protection locked="0"/>
    </xf>
    <xf numFmtId="0" fontId="31" fillId="4" borderId="0" xfId="0" quotePrefix="1" applyFont="1" applyFill="1" applyBorder="1" applyAlignment="1" applyProtection="1">
      <alignment horizontal="left"/>
      <protection locked="0"/>
    </xf>
    <xf numFmtId="4" fontId="134" fillId="13" borderId="94" xfId="0" applyNumberFormat="1" applyFont="1" applyFill="1" applyBorder="1" applyProtection="1">
      <protection locked="0"/>
    </xf>
    <xf numFmtId="4" fontId="134" fillId="13" borderId="95" xfId="0" applyNumberFormat="1" applyFont="1" applyFill="1" applyBorder="1" applyProtection="1">
      <protection locked="0"/>
    </xf>
    <xf numFmtId="4" fontId="134" fillId="13" borderId="96" xfId="0" applyNumberFormat="1" applyFont="1" applyFill="1" applyBorder="1" applyProtection="1">
      <protection locked="0"/>
    </xf>
    <xf numFmtId="4" fontId="134" fillId="13" borderId="97" xfId="0" applyNumberFormat="1" applyFont="1" applyFill="1" applyBorder="1" applyProtection="1">
      <protection locked="0"/>
    </xf>
    <xf numFmtId="4" fontId="134" fillId="13" borderId="98" xfId="0" applyNumberFormat="1" applyFont="1" applyFill="1" applyBorder="1" applyProtection="1">
      <protection locked="0"/>
    </xf>
    <xf numFmtId="4" fontId="134" fillId="13" borderId="99" xfId="0" applyNumberFormat="1" applyFont="1" applyFill="1" applyBorder="1" applyProtection="1">
      <protection locked="0"/>
    </xf>
    <xf numFmtId="0" fontId="17" fillId="4" borderId="0" xfId="0" quotePrefix="1" applyFont="1" applyFill="1" applyProtection="1"/>
    <xf numFmtId="0" fontId="11" fillId="4" borderId="25" xfId="0" applyFont="1" applyFill="1" applyBorder="1" applyAlignment="1" applyProtection="1">
      <alignment horizontal="center"/>
    </xf>
    <xf numFmtId="178" fontId="0" fillId="0" borderId="0" xfId="0" applyNumberFormat="1" applyAlignment="1" applyProtection="1">
      <alignment horizontal="center"/>
    </xf>
    <xf numFmtId="0" fontId="0" fillId="0" borderId="0" xfId="0" applyAlignment="1">
      <alignment horizontal="left"/>
    </xf>
    <xf numFmtId="5" fontId="17" fillId="2" borderId="1" xfId="0" applyNumberFormat="1" applyFont="1" applyFill="1" applyBorder="1" applyProtection="1">
      <protection locked="0"/>
    </xf>
    <xf numFmtId="0" fontId="129" fillId="4" borderId="0" xfId="0" applyFont="1" applyFill="1" applyProtection="1"/>
    <xf numFmtId="5" fontId="57" fillId="3" borderId="1" xfId="0" applyNumberFormat="1" applyFont="1" applyFill="1" applyBorder="1" applyProtection="1"/>
    <xf numFmtId="7" fontId="57" fillId="3" borderId="1" xfId="0" applyNumberFormat="1" applyFont="1" applyFill="1" applyBorder="1" applyProtection="1">
      <protection locked="0"/>
    </xf>
    <xf numFmtId="177" fontId="57" fillId="3" borderId="13" xfId="0" applyNumberFormat="1" applyFont="1" applyFill="1" applyBorder="1" applyAlignment="1" applyProtection="1">
      <alignment horizontal="centerContinuous"/>
    </xf>
    <xf numFmtId="0" fontId="88" fillId="4" borderId="73" xfId="0" applyFont="1" applyFill="1" applyBorder="1" applyProtection="1"/>
    <xf numFmtId="5" fontId="55" fillId="4" borderId="0" xfId="0" applyNumberFormat="1" applyFont="1" applyFill="1" applyProtection="1"/>
    <xf numFmtId="5" fontId="88" fillId="4" borderId="0" xfId="0" applyNumberFormat="1" applyFont="1" applyFill="1" applyProtection="1"/>
    <xf numFmtId="0" fontId="75" fillId="4" borderId="0" xfId="0" applyFont="1" applyFill="1" applyProtection="1"/>
    <xf numFmtId="0" fontId="49" fillId="4" borderId="8" xfId="0" applyFont="1" applyFill="1" applyBorder="1" applyProtection="1"/>
    <xf numFmtId="0" fontId="49" fillId="4" borderId="9" xfId="0" applyFont="1" applyFill="1" applyBorder="1" applyProtection="1"/>
    <xf numFmtId="0" fontId="55" fillId="4" borderId="9" xfId="0" applyFont="1" applyFill="1" applyBorder="1" applyProtection="1"/>
    <xf numFmtId="0" fontId="49" fillId="4" borderId="26" xfId="0" applyFont="1" applyFill="1" applyBorder="1" applyProtection="1"/>
    <xf numFmtId="0" fontId="49" fillId="4" borderId="27" xfId="0" applyFont="1" applyFill="1" applyBorder="1" applyProtection="1"/>
    <xf numFmtId="0" fontId="55" fillId="4" borderId="27" xfId="0" applyFont="1" applyFill="1" applyBorder="1" applyProtection="1"/>
    <xf numFmtId="0" fontId="76" fillId="4" borderId="0" xfId="0" applyFont="1" applyFill="1" applyProtection="1"/>
    <xf numFmtId="5" fontId="49" fillId="2" borderId="1" xfId="0" applyNumberFormat="1" applyFont="1" applyFill="1" applyBorder="1" applyProtection="1">
      <protection locked="0"/>
    </xf>
    <xf numFmtId="5" fontId="49" fillId="0" borderId="1" xfId="0" applyNumberFormat="1" applyFont="1" applyFill="1" applyBorder="1" applyProtection="1">
      <protection locked="0"/>
    </xf>
    <xf numFmtId="0" fontId="83" fillId="4" borderId="0" xfId="0" applyFont="1" applyFill="1" applyAlignment="1" applyProtection="1">
      <alignment horizontal="right"/>
    </xf>
    <xf numFmtId="5" fontId="57" fillId="3" borderId="13" xfId="0" applyNumberFormat="1" applyFont="1" applyFill="1" applyBorder="1" applyProtection="1"/>
    <xf numFmtId="5" fontId="57" fillId="3" borderId="1" xfId="0" applyNumberFormat="1" applyFont="1" applyFill="1" applyBorder="1" applyAlignment="1" applyProtection="1">
      <alignment horizontal="right"/>
    </xf>
    <xf numFmtId="37" fontId="49" fillId="4" borderId="0" xfId="0" applyNumberFormat="1" applyFont="1" applyFill="1" applyAlignment="1" applyProtection="1">
      <alignment horizontal="centerContinuous"/>
    </xf>
    <xf numFmtId="37" fontId="52" fillId="4" borderId="0" xfId="0" applyNumberFormat="1" applyFont="1" applyFill="1" applyAlignment="1" applyProtection="1">
      <alignment horizontal="center"/>
    </xf>
    <xf numFmtId="0" fontId="55" fillId="4" borderId="0" xfId="0" applyFont="1" applyFill="1" applyAlignment="1" applyProtection="1">
      <alignment horizontal="centerContinuous"/>
    </xf>
    <xf numFmtId="5" fontId="49" fillId="0" borderId="3" xfId="0" applyNumberFormat="1" applyFont="1" applyFill="1" applyBorder="1" applyProtection="1">
      <protection locked="0"/>
    </xf>
    <xf numFmtId="37" fontId="49" fillId="4" borderId="0" xfId="0" applyNumberFormat="1" applyFont="1" applyFill="1" applyProtection="1"/>
    <xf numFmtId="37" fontId="55" fillId="4" borderId="0" xfId="0" applyNumberFormat="1" applyFont="1" applyFill="1" applyProtection="1"/>
    <xf numFmtId="167" fontId="49" fillId="3" borderId="103" xfId="0" applyNumberFormat="1" applyFont="1" applyFill="1" applyBorder="1" applyAlignment="1" applyProtection="1">
      <alignment horizontal="right"/>
    </xf>
    <xf numFmtId="0" fontId="49" fillId="3" borderId="19" xfId="0" applyFont="1" applyFill="1" applyBorder="1" applyProtection="1"/>
    <xf numFmtId="0" fontId="49" fillId="3" borderId="104" xfId="0" applyFont="1" applyFill="1" applyBorder="1" applyProtection="1"/>
    <xf numFmtId="5" fontId="49" fillId="4" borderId="0" xfId="0" applyNumberFormat="1" applyFont="1" applyFill="1" applyProtection="1"/>
    <xf numFmtId="0" fontId="57" fillId="2" borderId="1" xfId="0" applyFont="1" applyFill="1" applyBorder="1" applyProtection="1">
      <protection locked="0"/>
    </xf>
    <xf numFmtId="0" fontId="57" fillId="2" borderId="3" xfId="0" applyFont="1" applyFill="1" applyBorder="1" applyProtection="1">
      <protection locked="0"/>
    </xf>
    <xf numFmtId="167" fontId="57" fillId="3" borderId="103" xfId="0" applyNumberFormat="1" applyFont="1" applyFill="1" applyBorder="1" applyProtection="1"/>
    <xf numFmtId="5" fontId="57" fillId="3" borderId="105" xfId="0" applyNumberFormat="1" applyFont="1" applyFill="1" applyBorder="1" applyProtection="1"/>
    <xf numFmtId="0" fontId="57" fillId="3" borderId="104" xfId="0" applyFont="1" applyFill="1" applyBorder="1" applyProtection="1"/>
    <xf numFmtId="0" fontId="67" fillId="4" borderId="0" xfId="0" applyFont="1" applyFill="1" applyProtection="1"/>
    <xf numFmtId="0" fontId="83" fillId="4" borderId="73" xfId="0" applyFont="1" applyFill="1" applyBorder="1" applyProtection="1"/>
    <xf numFmtId="37" fontId="52" fillId="4" borderId="0" xfId="0" applyNumberFormat="1" applyFont="1" applyFill="1" applyProtection="1"/>
    <xf numFmtId="10" fontId="49" fillId="2" borderId="1" xfId="0" applyNumberFormat="1" applyFont="1" applyFill="1" applyBorder="1" applyProtection="1">
      <protection locked="0"/>
    </xf>
    <xf numFmtId="168" fontId="49" fillId="2" borderId="1" xfId="0" applyNumberFormat="1" applyFont="1" applyFill="1" applyBorder="1" applyProtection="1">
      <protection locked="0"/>
    </xf>
    <xf numFmtId="168" fontId="49" fillId="4" borderId="0" xfId="0" applyNumberFormat="1" applyFont="1" applyFill="1" applyProtection="1"/>
    <xf numFmtId="0" fontId="49" fillId="4" borderId="15" xfId="0" applyFont="1" applyFill="1" applyBorder="1" applyAlignment="1" applyProtection="1">
      <alignment horizontal="centerContinuous"/>
    </xf>
    <xf numFmtId="0" fontId="49" fillId="4" borderId="16" xfId="0" applyFont="1" applyFill="1" applyBorder="1" applyAlignment="1" applyProtection="1">
      <alignment horizontal="centerContinuous"/>
    </xf>
    <xf numFmtId="0" fontId="76" fillId="4" borderId="16" xfId="0" applyFont="1" applyFill="1" applyBorder="1" applyAlignment="1" applyProtection="1">
      <alignment horizontal="centerContinuous"/>
    </xf>
    <xf numFmtId="0" fontId="55" fillId="4" borderId="16" xfId="0" applyFont="1" applyFill="1" applyBorder="1" applyAlignment="1" applyProtection="1">
      <alignment horizontal="centerContinuous"/>
    </xf>
    <xf numFmtId="37" fontId="88" fillId="4" borderId="0" xfId="0" applyNumberFormat="1" applyFont="1" applyFill="1" applyProtection="1"/>
    <xf numFmtId="0" fontId="79" fillId="4" borderId="0" xfId="0" applyFont="1" applyFill="1" applyAlignment="1" applyProtection="1">
      <alignment horizontal="centerContinuous" vertical="top"/>
    </xf>
    <xf numFmtId="0" fontId="55" fillId="4" borderId="0" xfId="0" applyFont="1" applyFill="1" applyAlignment="1" applyProtection="1">
      <alignment horizontal="centerContinuous" vertical="top"/>
    </xf>
    <xf numFmtId="0" fontId="49" fillId="4" borderId="0" xfId="0" applyFont="1" applyFill="1" applyAlignment="1" applyProtection="1">
      <alignment horizontal="center"/>
    </xf>
    <xf numFmtId="5" fontId="88" fillId="4" borderId="103" xfId="0" applyNumberFormat="1" applyFont="1" applyFill="1" applyBorder="1" applyProtection="1"/>
    <xf numFmtId="5" fontId="88" fillId="4" borderId="19" xfId="0" applyNumberFormat="1" applyFont="1" applyFill="1" applyBorder="1" applyProtection="1"/>
    <xf numFmtId="0" fontId="49" fillId="4" borderId="19" xfId="0" applyFont="1" applyFill="1" applyBorder="1" applyProtection="1"/>
    <xf numFmtId="0" fontId="104" fillId="4" borderId="0" xfId="0" applyFont="1" applyFill="1" applyProtection="1"/>
    <xf numFmtId="0" fontId="57" fillId="4" borderId="73" xfId="0" applyFont="1" applyFill="1" applyBorder="1" applyProtection="1"/>
    <xf numFmtId="5" fontId="57" fillId="2" borderId="1" xfId="0" applyNumberFormat="1" applyFont="1" applyFill="1" applyBorder="1" applyProtection="1">
      <protection locked="0"/>
    </xf>
    <xf numFmtId="0" fontId="98" fillId="4" borderId="106" xfId="0" applyFont="1" applyFill="1" applyBorder="1" applyAlignment="1" applyProtection="1">
      <alignment horizontal="right"/>
    </xf>
    <xf numFmtId="0" fontId="67" fillId="4" borderId="73" xfId="0" applyFont="1" applyFill="1" applyBorder="1" applyProtection="1"/>
    <xf numFmtId="0" fontId="49" fillId="4" borderId="73" xfId="0" applyFont="1" applyFill="1" applyBorder="1" applyProtection="1"/>
    <xf numFmtId="169" fontId="57" fillId="3" borderId="1" xfId="0" applyNumberFormat="1" applyFont="1" applyFill="1" applyBorder="1" applyProtection="1"/>
    <xf numFmtId="5" fontId="49" fillId="2" borderId="1" xfId="0" quotePrefix="1" applyNumberFormat="1" applyFont="1" applyFill="1" applyBorder="1" applyProtection="1">
      <protection locked="0"/>
    </xf>
    <xf numFmtId="5" fontId="49" fillId="2" borderId="70" xfId="0" applyNumberFormat="1" applyFont="1" applyFill="1" applyBorder="1" applyProtection="1">
      <protection locked="0"/>
    </xf>
    <xf numFmtId="5" fontId="49" fillId="3" borderId="13" xfId="0" applyNumberFormat="1" applyFont="1" applyFill="1" applyBorder="1" applyProtection="1"/>
    <xf numFmtId="5" fontId="49" fillId="0" borderId="0" xfId="0" applyNumberFormat="1" applyFont="1" applyFill="1" applyBorder="1" applyProtection="1"/>
    <xf numFmtId="5" fontId="49" fillId="2" borderId="13" xfId="0" applyNumberFormat="1" applyFont="1" applyFill="1" applyBorder="1" applyProtection="1">
      <protection locked="0"/>
    </xf>
    <xf numFmtId="0" fontId="128" fillId="0" borderId="0" xfId="0" applyFont="1" applyAlignment="1">
      <alignment horizontal="center"/>
    </xf>
    <xf numFmtId="0" fontId="88" fillId="2" borderId="1" xfId="0" applyFont="1" applyFill="1" applyBorder="1" applyAlignment="1" applyProtection="1">
      <alignment horizontal="center"/>
      <protection locked="0"/>
    </xf>
    <xf numFmtId="0" fontId="31" fillId="3" borderId="107" xfId="0" applyFont="1" applyFill="1" applyBorder="1" applyProtection="1"/>
    <xf numFmtId="0" fontId="11" fillId="4" borderId="66" xfId="0" applyFont="1" applyFill="1" applyBorder="1" applyProtection="1"/>
    <xf numFmtId="0" fontId="40" fillId="0" borderId="18" xfId="0" applyFont="1" applyBorder="1" applyProtection="1"/>
    <xf numFmtId="0" fontId="39" fillId="0" borderId="21" xfId="0" applyFont="1" applyBorder="1" applyProtection="1"/>
    <xf numFmtId="0" fontId="31" fillId="4" borderId="21" xfId="0" applyFont="1" applyFill="1" applyBorder="1" applyProtection="1"/>
    <xf numFmtId="0" fontId="10" fillId="4" borderId="21" xfId="0" applyFont="1" applyFill="1" applyBorder="1" applyProtection="1"/>
    <xf numFmtId="0" fontId="40" fillId="0" borderId="21" xfId="0" applyFont="1" applyBorder="1" applyProtection="1"/>
    <xf numFmtId="0" fontId="152" fillId="0" borderId="0" xfId="0" applyFont="1" applyAlignment="1"/>
    <xf numFmtId="1" fontId="90" fillId="0" borderId="0" xfId="0" applyNumberFormat="1" applyFont="1" applyAlignment="1"/>
    <xf numFmtId="0" fontId="90" fillId="0" borderId="0" xfId="0" applyFont="1" applyAlignment="1">
      <alignment horizontal="center" wrapText="1"/>
    </xf>
    <xf numFmtId="1" fontId="90" fillId="0" borderId="0" xfId="0" applyNumberFormat="1" applyFont="1" applyAlignment="1">
      <alignment horizontal="center"/>
    </xf>
    <xf numFmtId="0" fontId="90" fillId="0" borderId="0" xfId="0" applyFont="1" applyAlignment="1">
      <alignment horizontal="center"/>
    </xf>
    <xf numFmtId="0" fontId="152" fillId="0" borderId="0" xfId="0" applyFont="1" applyAlignment="1">
      <alignment horizontal="left"/>
    </xf>
    <xf numFmtId="1" fontId="153" fillId="0" borderId="0" xfId="0" applyNumberFormat="1" applyFont="1" applyAlignment="1">
      <alignment horizontal="center"/>
    </xf>
    <xf numFmtId="9" fontId="90" fillId="0" borderId="0" xfId="0" applyNumberFormat="1" applyFont="1" applyAlignment="1">
      <alignment horizontal="center"/>
    </xf>
    <xf numFmtId="0" fontId="154" fillId="0" borderId="0" xfId="0" applyFont="1" applyAlignment="1">
      <alignment horizontal="left"/>
    </xf>
    <xf numFmtId="0" fontId="152" fillId="0" borderId="0" xfId="0" applyFont="1"/>
    <xf numFmtId="14" fontId="55" fillId="0" borderId="0" xfId="0" applyNumberFormat="1" applyFont="1"/>
    <xf numFmtId="49" fontId="55" fillId="0" borderId="0" xfId="0" applyNumberFormat="1" applyFont="1" applyAlignment="1">
      <alignment horizontal="center"/>
    </xf>
    <xf numFmtId="5" fontId="17" fillId="3" borderId="1" xfId="0" applyNumberFormat="1" applyFont="1" applyFill="1" applyBorder="1" applyProtection="1">
      <protection locked="0"/>
    </xf>
    <xf numFmtId="0" fontId="140" fillId="0" borderId="0" xfId="0" applyFont="1" applyFill="1" applyBorder="1"/>
    <xf numFmtId="0" fontId="0" fillId="0" borderId="0" xfId="0" applyBorder="1"/>
    <xf numFmtId="0" fontId="88" fillId="4" borderId="0" xfId="0" applyFont="1" applyFill="1" applyBorder="1" applyProtection="1"/>
    <xf numFmtId="0" fontId="57" fillId="2" borderId="13" xfId="0" applyFont="1" applyFill="1" applyBorder="1" applyProtection="1">
      <protection locked="0"/>
    </xf>
    <xf numFmtId="0" fontId="27" fillId="4" borderId="0" xfId="0" applyFont="1" applyFill="1" applyAlignment="1" applyProtection="1">
      <alignment horizontal="right"/>
    </xf>
    <xf numFmtId="0" fontId="20" fillId="4" borderId="26" xfId="0" applyFont="1" applyFill="1" applyBorder="1" applyProtection="1"/>
    <xf numFmtId="0" fontId="23" fillId="4" borderId="27" xfId="0" applyFont="1" applyFill="1" applyBorder="1" applyProtection="1"/>
    <xf numFmtId="0" fontId="23" fillId="4" borderId="28" xfId="0" applyFont="1" applyFill="1" applyBorder="1" applyProtection="1"/>
    <xf numFmtId="0" fontId="70" fillId="4" borderId="66" xfId="0" applyFont="1" applyFill="1" applyBorder="1" applyProtection="1"/>
    <xf numFmtId="0" fontId="70" fillId="4" borderId="46" xfId="0" applyFont="1" applyFill="1" applyBorder="1" applyProtection="1"/>
    <xf numFmtId="0" fontId="70" fillId="4" borderId="67" xfId="0" applyFont="1" applyFill="1" applyBorder="1" applyProtection="1"/>
    <xf numFmtId="0" fontId="71" fillId="0" borderId="0" xfId="0" applyFont="1" applyProtection="1"/>
    <xf numFmtId="0" fontId="28" fillId="4" borderId="66" xfId="0" applyFont="1" applyFill="1" applyBorder="1" applyProtection="1"/>
    <xf numFmtId="0" fontId="28" fillId="4" borderId="46" xfId="0" applyFont="1" applyFill="1" applyBorder="1" applyProtection="1"/>
    <xf numFmtId="0" fontId="28" fillId="4" borderId="67" xfId="0" applyFont="1" applyFill="1" applyBorder="1" applyProtection="1"/>
    <xf numFmtId="0" fontId="18" fillId="4" borderId="18" xfId="0" applyFont="1" applyFill="1" applyBorder="1" applyProtection="1"/>
    <xf numFmtId="0" fontId="28" fillId="4" borderId="18" xfId="0" applyFont="1" applyFill="1" applyBorder="1" applyProtection="1"/>
    <xf numFmtId="0" fontId="31" fillId="4" borderId="10" xfId="0" applyFont="1" applyFill="1" applyBorder="1" applyProtection="1"/>
    <xf numFmtId="0" fontId="22" fillId="4" borderId="26" xfId="0" applyFont="1" applyFill="1" applyBorder="1" applyProtection="1"/>
    <xf numFmtId="0" fontId="72" fillId="4" borderId="0" xfId="0" applyFont="1" applyFill="1" applyProtection="1"/>
    <xf numFmtId="0" fontId="28" fillId="4" borderId="8" xfId="0" applyFont="1" applyFill="1" applyBorder="1" applyProtection="1"/>
    <xf numFmtId="0" fontId="110" fillId="0" borderId="0" xfId="0" applyFont="1" applyFill="1"/>
    <xf numFmtId="1" fontId="110" fillId="0" borderId="0" xfId="0" applyNumberFormat="1" applyFont="1" applyFill="1"/>
    <xf numFmtId="170" fontId="150" fillId="0" borderId="0" xfId="0" applyNumberFormat="1" applyFont="1" applyFill="1"/>
    <xf numFmtId="1" fontId="134" fillId="0" borderId="0" xfId="0" applyNumberFormat="1" applyFont="1" applyFill="1"/>
    <xf numFmtId="1" fontId="110" fillId="0" borderId="0" xfId="0" applyNumberFormat="1" applyFont="1" applyFill="1" applyAlignment="1">
      <alignment horizontal="center"/>
    </xf>
    <xf numFmtId="185" fontId="110" fillId="0" borderId="0" xfId="0" applyNumberFormat="1" applyFont="1" applyFill="1"/>
    <xf numFmtId="0" fontId="140" fillId="0" borderId="0" xfId="0" applyFont="1" applyFill="1" applyBorder="1" applyAlignment="1">
      <alignment horizontal="center"/>
    </xf>
    <xf numFmtId="0" fontId="126" fillId="0" borderId="0" xfId="0" applyFont="1" applyFill="1" applyBorder="1"/>
    <xf numFmtId="0" fontId="126" fillId="0" borderId="0" xfId="0" applyFont="1" applyFill="1" applyBorder="1" applyAlignment="1">
      <alignment horizontal="center"/>
    </xf>
    <xf numFmtId="0" fontId="90" fillId="0" borderId="0" xfId="0" applyFont="1" applyFill="1" applyBorder="1"/>
    <xf numFmtId="1" fontId="145" fillId="0" borderId="0" xfId="0" applyNumberFormat="1" applyFont="1" applyFill="1" applyBorder="1"/>
    <xf numFmtId="0" fontId="134" fillId="0" borderId="0" xfId="0" applyFont="1" applyFill="1" applyBorder="1" applyAlignment="1">
      <alignment horizontal="center"/>
    </xf>
    <xf numFmtId="0" fontId="140" fillId="0" borderId="0" xfId="0" applyFont="1" applyFill="1" applyBorder="1" applyAlignment="1"/>
    <xf numFmtId="178" fontId="126" fillId="0" borderId="0" xfId="0" applyNumberFormat="1" applyFont="1" applyFill="1" applyBorder="1" applyAlignment="1"/>
    <xf numFmtId="170" fontId="145" fillId="0" borderId="0" xfId="0" applyNumberFormat="1" applyFont="1" applyFill="1" applyBorder="1" applyAlignment="1"/>
    <xf numFmtId="0" fontId="157" fillId="0" borderId="0" xfId="0" applyFont="1" applyBorder="1" applyAlignment="1"/>
    <xf numFmtId="1" fontId="126" fillId="0" borderId="0" xfId="0" applyNumberFormat="1" applyFont="1" applyFill="1" applyBorder="1"/>
    <xf numFmtId="1" fontId="126" fillId="0" borderId="0" xfId="0" applyNumberFormat="1" applyFont="1" applyFill="1" applyBorder="1" applyAlignment="1">
      <alignment horizontal="center"/>
    </xf>
    <xf numFmtId="185" fontId="126" fillId="0" borderId="0" xfId="0" applyNumberFormat="1" applyFont="1" applyFill="1" applyBorder="1" applyAlignment="1"/>
    <xf numFmtId="0" fontId="155" fillId="0" borderId="0" xfId="0" applyFont="1"/>
    <xf numFmtId="0" fontId="140" fillId="0" borderId="0" xfId="0" applyFont="1"/>
    <xf numFmtId="1" fontId="158" fillId="0" borderId="0" xfId="0" applyNumberFormat="1" applyFont="1"/>
    <xf numFmtId="1" fontId="158" fillId="0" borderId="0" xfId="0" applyNumberFormat="1" applyFont="1" applyAlignment="1">
      <alignment horizontal="center"/>
    </xf>
    <xf numFmtId="1" fontId="150" fillId="0" borderId="0" xfId="0" applyNumberFormat="1" applyFont="1" applyFill="1"/>
    <xf numFmtId="0" fontId="134" fillId="0" borderId="0" xfId="0" applyFont="1"/>
    <xf numFmtId="0" fontId="156" fillId="0" borderId="0" xfId="0" applyFont="1"/>
    <xf numFmtId="0" fontId="159" fillId="0" borderId="0" xfId="0" applyFont="1" applyBorder="1"/>
    <xf numFmtId="185" fontId="110" fillId="0" borderId="0" xfId="0" applyNumberFormat="1" applyFont="1" applyAlignment="1">
      <alignment horizontal="center"/>
    </xf>
    <xf numFmtId="2" fontId="0" fillId="0" borderId="0" xfId="0" applyNumberFormat="1"/>
    <xf numFmtId="0" fontId="31" fillId="2" borderId="39" xfId="0" applyFont="1" applyFill="1" applyBorder="1" applyAlignment="1" applyProtection="1">
      <alignment horizontal="center"/>
      <protection locked="0"/>
    </xf>
    <xf numFmtId="0" fontId="0" fillId="0" borderId="83" xfId="0" applyBorder="1" applyAlignment="1" applyProtection="1">
      <protection locked="0"/>
    </xf>
    <xf numFmtId="0" fontId="11" fillId="4" borderId="32" xfId="0" applyFont="1" applyFill="1" applyBorder="1" applyAlignment="1" applyProtection="1">
      <alignment horizontal="right"/>
      <protection locked="0"/>
    </xf>
    <xf numFmtId="0" fontId="0" fillId="0" borderId="0" xfId="0" applyBorder="1" applyAlignment="1" applyProtection="1">
      <alignment horizontal="right"/>
      <protection locked="0"/>
    </xf>
    <xf numFmtId="14" fontId="48" fillId="4" borderId="27" xfId="0" applyNumberFormat="1" applyFont="1" applyFill="1" applyBorder="1" applyAlignment="1" applyProtection="1">
      <alignment horizontal="center"/>
    </xf>
    <xf numFmtId="0" fontId="31" fillId="2" borderId="108" xfId="0" applyFont="1" applyFill="1" applyBorder="1" applyAlignment="1" applyProtection="1">
      <alignment vertical="top" wrapText="1"/>
      <protection locked="0"/>
    </xf>
    <xf numFmtId="0" fontId="0" fillId="2" borderId="63" xfId="0" applyFill="1" applyBorder="1" applyAlignment="1" applyProtection="1">
      <alignment vertical="top" wrapText="1"/>
      <protection locked="0"/>
    </xf>
    <xf numFmtId="0" fontId="0" fillId="2" borderId="109" xfId="0" applyFill="1" applyBorder="1" applyAlignment="1" applyProtection="1">
      <alignment vertical="top" wrapText="1"/>
      <protection locked="0"/>
    </xf>
    <xf numFmtId="0" fontId="0" fillId="2" borderId="32" xfId="0" applyFill="1" applyBorder="1" applyAlignment="1" applyProtection="1">
      <alignment vertical="top" wrapText="1"/>
      <protection locked="0"/>
    </xf>
    <xf numFmtId="0" fontId="0" fillId="2" borderId="0" xfId="0" applyFill="1" applyAlignment="1" applyProtection="1">
      <alignment vertical="top" wrapText="1"/>
      <protection locked="0"/>
    </xf>
    <xf numFmtId="0" fontId="0" fillId="2" borderId="65" xfId="0" applyFill="1" applyBorder="1" applyAlignment="1" applyProtection="1">
      <alignment vertical="top" wrapText="1"/>
      <protection locked="0"/>
    </xf>
    <xf numFmtId="0" fontId="0" fillId="2" borderId="103" xfId="0" applyFill="1" applyBorder="1" applyAlignment="1" applyProtection="1">
      <alignment vertical="top" wrapText="1"/>
      <protection locked="0"/>
    </xf>
    <xf numFmtId="0" fontId="0" fillId="2" borderId="19" xfId="0" applyFill="1" applyBorder="1" applyAlignment="1" applyProtection="1">
      <alignment vertical="top" wrapText="1"/>
      <protection locked="0"/>
    </xf>
    <xf numFmtId="0" fontId="0" fillId="2" borderId="104" xfId="0" applyFill="1" applyBorder="1" applyAlignment="1" applyProtection="1">
      <alignment vertical="top" wrapText="1"/>
      <protection locked="0"/>
    </xf>
    <xf numFmtId="0" fontId="11" fillId="2" borderId="44" xfId="0" applyFont="1" applyFill="1" applyBorder="1" applyAlignment="1" applyProtection="1">
      <alignment vertical="top" wrapText="1"/>
      <protection locked="0"/>
    </xf>
    <xf numFmtId="0" fontId="40" fillId="0" borderId="40" xfId="0" applyFont="1" applyBorder="1" applyAlignment="1" applyProtection="1">
      <alignment vertical="top" wrapText="1"/>
      <protection locked="0"/>
    </xf>
    <xf numFmtId="0" fontId="40" fillId="0" borderId="110" xfId="0" applyFont="1" applyBorder="1" applyAlignment="1" applyProtection="1">
      <alignment vertical="top" wrapText="1"/>
      <protection locked="0"/>
    </xf>
    <xf numFmtId="0" fontId="40" fillId="0" borderId="58" xfId="0" applyFont="1" applyBorder="1" applyAlignment="1" applyProtection="1">
      <alignment vertical="top" wrapText="1"/>
      <protection locked="0"/>
    </xf>
    <xf numFmtId="0" fontId="40" fillId="0" borderId="0" xfId="0" applyFont="1" applyBorder="1" applyAlignment="1" applyProtection="1">
      <alignment vertical="top" wrapText="1"/>
      <protection locked="0"/>
    </xf>
    <xf numFmtId="0" fontId="40" fillId="0" borderId="59" xfId="0" applyFont="1" applyBorder="1" applyAlignment="1" applyProtection="1">
      <alignment vertical="top" wrapText="1"/>
      <protection locked="0"/>
    </xf>
    <xf numFmtId="0" fontId="40" fillId="0" borderId="42" xfId="0" applyFont="1" applyBorder="1" applyAlignment="1" applyProtection="1">
      <alignment vertical="top" wrapText="1"/>
      <protection locked="0"/>
    </xf>
    <xf numFmtId="0" fontId="40" fillId="0" borderId="33" xfId="0" applyFont="1" applyBorder="1" applyAlignment="1" applyProtection="1">
      <alignment vertical="top" wrapText="1"/>
      <protection locked="0"/>
    </xf>
    <xf numFmtId="0" fontId="40" fillId="0" borderId="111" xfId="0" applyFont="1" applyBorder="1" applyAlignment="1" applyProtection="1">
      <alignment vertical="top" wrapText="1"/>
      <protection locked="0"/>
    </xf>
    <xf numFmtId="0" fontId="31" fillId="2" borderId="39" xfId="0" applyFont="1" applyFill="1" applyBorder="1" applyAlignment="1" applyProtection="1">
      <alignment horizontal="center" vertical="top" wrapText="1"/>
      <protection locked="0"/>
    </xf>
    <xf numFmtId="0" fontId="31" fillId="2" borderId="83" xfId="0" applyFont="1" applyFill="1" applyBorder="1" applyAlignment="1" applyProtection="1">
      <alignment horizontal="center" vertical="top" wrapText="1"/>
      <protection locked="0"/>
    </xf>
    <xf numFmtId="0" fontId="57" fillId="2" borderId="39" xfId="0" applyFont="1" applyFill="1" applyBorder="1" applyAlignment="1" applyProtection="1">
      <alignment horizontal="center"/>
      <protection locked="0"/>
    </xf>
    <xf numFmtId="0" fontId="57" fillId="2" borderId="112" xfId="0" applyFont="1" applyFill="1" applyBorder="1" applyAlignment="1" applyProtection="1">
      <alignment horizontal="center"/>
      <protection locked="0"/>
    </xf>
    <xf numFmtId="0" fontId="57" fillId="2" borderId="83" xfId="0" applyFont="1" applyFill="1" applyBorder="1" applyAlignment="1" applyProtection="1">
      <alignment horizontal="center"/>
      <protection locked="0"/>
    </xf>
    <xf numFmtId="0" fontId="11" fillId="2" borderId="39" xfId="0" applyFont="1" applyFill="1" applyBorder="1" applyAlignment="1" applyProtection="1">
      <protection locked="0"/>
    </xf>
    <xf numFmtId="0" fontId="0" fillId="0" borderId="112" xfId="0" applyBorder="1" applyAlignment="1"/>
    <xf numFmtId="0" fontId="0" fillId="0" borderId="83" xfId="0" applyBorder="1" applyAlignment="1"/>
    <xf numFmtId="0" fontId="87" fillId="4" borderId="0" xfId="0" applyFont="1" applyFill="1" applyBorder="1" applyAlignment="1" applyProtection="1">
      <alignment horizontal="left" vertical="top" wrapText="1"/>
    </xf>
    <xf numFmtId="49" fontId="41" fillId="2" borderId="108" xfId="0" applyNumberFormat="1" applyFont="1" applyFill="1" applyBorder="1" applyAlignment="1" applyProtection="1">
      <protection locked="0"/>
    </xf>
    <xf numFmtId="49" fontId="0" fillId="0" borderId="63" xfId="0" applyNumberFormat="1" applyBorder="1" applyAlignment="1"/>
    <xf numFmtId="49" fontId="0" fillId="0" borderId="109" xfId="0" applyNumberFormat="1" applyBorder="1" applyAlignment="1"/>
    <xf numFmtId="49" fontId="41" fillId="2" borderId="39" xfId="0" applyNumberFormat="1" applyFont="1" applyFill="1" applyBorder="1" applyAlignment="1" applyProtection="1">
      <protection locked="0"/>
    </xf>
    <xf numFmtId="49" fontId="0" fillId="0" borderId="112" xfId="0" applyNumberFormat="1" applyBorder="1" applyAlignment="1" applyProtection="1">
      <protection locked="0"/>
    </xf>
    <xf numFmtId="49" fontId="0" fillId="0" borderId="83" xfId="0" applyNumberFormat="1" applyBorder="1" applyAlignment="1" applyProtection="1">
      <protection locked="0"/>
    </xf>
    <xf numFmtId="0" fontId="31" fillId="2" borderId="3" xfId="0" applyFont="1" applyFill="1" applyBorder="1" applyAlignment="1" applyProtection="1">
      <alignment horizontal="center" wrapText="1"/>
      <protection locked="0"/>
    </xf>
    <xf numFmtId="0" fontId="0" fillId="0" borderId="5" xfId="0" applyBorder="1" applyAlignment="1" applyProtection="1">
      <alignment horizontal="center" wrapText="1"/>
      <protection locked="0"/>
    </xf>
    <xf numFmtId="49" fontId="41" fillId="2" borderId="42" xfId="0" applyNumberFormat="1" applyFont="1" applyFill="1" applyBorder="1" applyAlignment="1" applyProtection="1">
      <protection locked="0"/>
    </xf>
    <xf numFmtId="49" fontId="0" fillId="0" borderId="111" xfId="0" applyNumberFormat="1" applyBorder="1" applyAlignment="1" applyProtection="1">
      <protection locked="0"/>
    </xf>
    <xf numFmtId="49" fontId="41" fillId="2" borderId="103" xfId="0" applyNumberFormat="1" applyFont="1" applyFill="1" applyBorder="1" applyAlignment="1" applyProtection="1">
      <protection locked="0"/>
    </xf>
    <xf numFmtId="49" fontId="0" fillId="0" borderId="19" xfId="0" applyNumberFormat="1" applyBorder="1" applyAlignment="1" applyProtection="1">
      <protection locked="0"/>
    </xf>
    <xf numFmtId="49" fontId="0" fillId="0" borderId="4" xfId="0" applyNumberFormat="1" applyBorder="1" applyAlignment="1" applyProtection="1">
      <protection locked="0"/>
    </xf>
    <xf numFmtId="0" fontId="0" fillId="0" borderId="63" xfId="0" applyBorder="1" applyAlignment="1" applyProtection="1">
      <alignment vertical="top" wrapText="1"/>
      <protection locked="0"/>
    </xf>
    <xf numFmtId="0" fontId="0" fillId="0" borderId="109"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0" xfId="0" applyAlignment="1" applyProtection="1">
      <alignment vertical="top" wrapText="1"/>
      <protection locked="0"/>
    </xf>
    <xf numFmtId="0" fontId="0" fillId="0" borderId="65" xfId="0" applyBorder="1" applyAlignment="1" applyProtection="1">
      <alignment vertical="top" wrapText="1"/>
      <protection locked="0"/>
    </xf>
    <xf numFmtId="0" fontId="0" fillId="0" borderId="103"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104" xfId="0" applyBorder="1" applyAlignment="1" applyProtection="1">
      <alignment vertical="top" wrapText="1"/>
      <protection locked="0"/>
    </xf>
    <xf numFmtId="170" fontId="11" fillId="2" borderId="84" xfId="0" applyNumberFormat="1" applyFont="1" applyFill="1" applyBorder="1" applyAlignment="1" applyProtection="1">
      <alignment vertical="top" wrapText="1"/>
      <protection locked="0"/>
    </xf>
    <xf numFmtId="0" fontId="0" fillId="2" borderId="86" xfId="0" applyFill="1" applyBorder="1" applyAlignment="1" applyProtection="1">
      <alignment vertical="top" wrapText="1"/>
      <protection locked="0"/>
    </xf>
    <xf numFmtId="0" fontId="0" fillId="2" borderId="87" xfId="0" applyFill="1" applyBorder="1" applyAlignment="1" applyProtection="1">
      <alignment vertical="top" wrapText="1"/>
      <protection locked="0"/>
    </xf>
    <xf numFmtId="0" fontId="0" fillId="2" borderId="88" xfId="0" applyFill="1" applyBorder="1" applyAlignment="1" applyProtection="1">
      <alignment vertical="top" wrapText="1"/>
      <protection locked="0"/>
    </xf>
    <xf numFmtId="0" fontId="0" fillId="2" borderId="89" xfId="0" applyFill="1" applyBorder="1" applyAlignment="1" applyProtection="1">
      <alignment vertical="top" wrapText="1"/>
      <protection locked="0"/>
    </xf>
    <xf numFmtId="0" fontId="0" fillId="2" borderId="91" xfId="0" applyFill="1" applyBorder="1" applyAlignment="1" applyProtection="1">
      <alignment vertical="top" wrapText="1"/>
      <protection locked="0"/>
    </xf>
    <xf numFmtId="0" fontId="98" fillId="4" borderId="0" xfId="0" applyFont="1" applyFill="1" applyBorder="1" applyAlignment="1" applyProtection="1">
      <alignment horizontal="center"/>
    </xf>
    <xf numFmtId="0" fontId="121" fillId="0" borderId="0" xfId="0" applyFont="1" applyBorder="1" applyAlignment="1">
      <alignment horizontal="center"/>
    </xf>
    <xf numFmtId="0" fontId="48" fillId="4" borderId="27" xfId="0" applyNumberFormat="1" applyFont="1" applyFill="1" applyBorder="1" applyAlignment="1" applyProtection="1">
      <alignment horizontal="center"/>
    </xf>
    <xf numFmtId="0" fontId="57" fillId="2" borderId="39" xfId="0" applyFont="1" applyFill="1" applyBorder="1" applyAlignment="1" applyProtection="1">
      <protection locked="0"/>
    </xf>
    <xf numFmtId="0" fontId="57" fillId="0" borderId="112" xfId="0" applyFont="1" applyBorder="1" applyAlignment="1" applyProtection="1">
      <protection locked="0"/>
    </xf>
    <xf numFmtId="0" fontId="57" fillId="0" borderId="83" xfId="0" applyFont="1" applyBorder="1" applyAlignment="1" applyProtection="1">
      <protection locked="0"/>
    </xf>
    <xf numFmtId="0" fontId="17" fillId="2" borderId="3" xfId="0" applyFont="1" applyFill="1" applyBorder="1" applyAlignment="1" applyProtection="1">
      <protection locked="0"/>
    </xf>
    <xf numFmtId="0" fontId="0" fillId="0" borderId="4" xfId="0" applyBorder="1" applyAlignment="1"/>
    <xf numFmtId="0" fontId="0" fillId="0" borderId="5" xfId="0" applyBorder="1" applyAlignment="1"/>
    <xf numFmtId="0" fontId="0" fillId="0" borderId="112" xfId="0" applyBorder="1" applyAlignment="1" applyProtection="1">
      <protection locked="0"/>
    </xf>
    <xf numFmtId="0" fontId="55" fillId="2" borderId="84" xfId="0" applyFont="1" applyFill="1" applyBorder="1" applyAlignment="1" applyProtection="1">
      <alignment vertical="top" wrapText="1"/>
      <protection locked="0"/>
    </xf>
    <xf numFmtId="0" fontId="55" fillId="0" borderId="85" xfId="0" applyFont="1" applyBorder="1" applyAlignment="1" applyProtection="1">
      <alignment vertical="top" wrapText="1"/>
      <protection locked="0"/>
    </xf>
    <xf numFmtId="0" fontId="55" fillId="0" borderId="86" xfId="0" applyFont="1" applyBorder="1" applyAlignment="1" applyProtection="1">
      <alignment vertical="top" wrapText="1"/>
      <protection locked="0"/>
    </xf>
    <xf numFmtId="0" fontId="55" fillId="0" borderId="87" xfId="0" applyFont="1" applyBorder="1" applyAlignment="1" applyProtection="1">
      <alignment vertical="top" wrapText="1"/>
      <protection locked="0"/>
    </xf>
    <xf numFmtId="0" fontId="55" fillId="0" borderId="0" xfId="0" applyFont="1" applyAlignment="1" applyProtection="1">
      <alignment vertical="top" wrapText="1"/>
      <protection locked="0"/>
    </xf>
    <xf numFmtId="0" fontId="55" fillId="0" borderId="88" xfId="0" applyFont="1" applyBorder="1" applyAlignment="1" applyProtection="1">
      <alignment vertical="top" wrapText="1"/>
      <protection locked="0"/>
    </xf>
    <xf numFmtId="0" fontId="55" fillId="0" borderId="89" xfId="0" applyFont="1" applyBorder="1" applyAlignment="1" applyProtection="1">
      <alignment vertical="top" wrapText="1"/>
      <protection locked="0"/>
    </xf>
    <xf numFmtId="0" fontId="55" fillId="0" borderId="90" xfId="0" applyFont="1" applyBorder="1" applyAlignment="1" applyProtection="1">
      <alignment vertical="top" wrapText="1"/>
      <protection locked="0"/>
    </xf>
    <xf numFmtId="0" fontId="55" fillId="0" borderId="91" xfId="0" applyFont="1" applyBorder="1" applyAlignment="1" applyProtection="1">
      <alignment vertical="top" wrapText="1"/>
      <protection locked="0"/>
    </xf>
    <xf numFmtId="183" fontId="41" fillId="2" borderId="3" xfId="0" applyNumberFormat="1" applyFont="1" applyFill="1" applyBorder="1" applyAlignment="1" applyProtection="1">
      <alignment horizontal="center"/>
      <protection locked="0"/>
    </xf>
    <xf numFmtId="183" fontId="0" fillId="0" borderId="5" xfId="0" applyNumberFormat="1" applyBorder="1" applyAlignment="1" applyProtection="1">
      <alignment horizontal="center"/>
      <protection locked="0"/>
    </xf>
    <xf numFmtId="49" fontId="41" fillId="2" borderId="3" xfId="0" applyNumberFormat="1" applyFont="1" applyFill="1" applyBorder="1" applyAlignment="1" applyProtection="1">
      <protection locked="0"/>
    </xf>
    <xf numFmtId="49" fontId="0" fillId="0" borderId="5" xfId="0" applyNumberFormat="1" applyBorder="1" applyAlignment="1" applyProtection="1">
      <protection locked="0"/>
    </xf>
    <xf numFmtId="49" fontId="0" fillId="0" borderId="63" xfId="0" applyNumberFormat="1" applyBorder="1" applyAlignment="1" applyProtection="1">
      <protection locked="0"/>
    </xf>
    <xf numFmtId="49" fontId="0" fillId="0" borderId="109" xfId="0" applyNumberFormat="1" applyBorder="1" applyAlignment="1" applyProtection="1">
      <protection locked="0"/>
    </xf>
    <xf numFmtId="0" fontId="139" fillId="0" borderId="0" xfId="0" applyFont="1" applyFill="1" applyBorder="1" applyAlignment="1" applyProtection="1">
      <alignment vertical="top" wrapText="1"/>
      <protection locked="0"/>
    </xf>
    <xf numFmtId="0" fontId="140" fillId="0" borderId="0" xfId="0" applyFont="1" applyFill="1" applyBorder="1" applyAlignment="1" applyProtection="1">
      <alignment vertical="top" wrapText="1"/>
      <protection locked="0"/>
    </xf>
    <xf numFmtId="0" fontId="139" fillId="2" borderId="44" xfId="0" applyFont="1" applyFill="1" applyBorder="1" applyAlignment="1" applyProtection="1">
      <alignment vertical="top" wrapText="1"/>
      <protection locked="0"/>
    </xf>
    <xf numFmtId="0" fontId="139" fillId="2" borderId="40" xfId="0" applyFont="1" applyFill="1" applyBorder="1" applyAlignment="1" applyProtection="1">
      <alignment vertical="top" wrapText="1"/>
      <protection locked="0"/>
    </xf>
    <xf numFmtId="0" fontId="139" fillId="2" borderId="110" xfId="0" applyFont="1" applyFill="1" applyBorder="1" applyAlignment="1" applyProtection="1">
      <alignment vertical="top" wrapText="1"/>
      <protection locked="0"/>
    </xf>
    <xf numFmtId="0" fontId="139" fillId="2" borderId="58" xfId="0" applyFont="1" applyFill="1" applyBorder="1" applyAlignment="1" applyProtection="1">
      <alignment vertical="top" wrapText="1"/>
      <protection locked="0"/>
    </xf>
    <xf numFmtId="0" fontId="139" fillId="2" borderId="0" xfId="0" applyFont="1" applyFill="1" applyBorder="1" applyAlignment="1" applyProtection="1">
      <alignment vertical="top" wrapText="1"/>
      <protection locked="0"/>
    </xf>
    <xf numFmtId="0" fontId="139" fillId="2" borderId="59" xfId="0" applyFont="1" applyFill="1" applyBorder="1" applyAlignment="1" applyProtection="1">
      <alignment vertical="top" wrapText="1"/>
      <protection locked="0"/>
    </xf>
    <xf numFmtId="0" fontId="139" fillId="2" borderId="42" xfId="0" applyFont="1" applyFill="1" applyBorder="1" applyAlignment="1" applyProtection="1">
      <alignment vertical="top" wrapText="1"/>
      <protection locked="0"/>
    </xf>
    <xf numFmtId="0" fontId="139" fillId="2" borderId="33" xfId="0" applyFont="1" applyFill="1" applyBorder="1" applyAlignment="1" applyProtection="1">
      <alignment vertical="top" wrapText="1"/>
      <protection locked="0"/>
    </xf>
    <xf numFmtId="0" fontId="139" fillId="2" borderId="111" xfId="0" applyFont="1" applyFill="1" applyBorder="1" applyAlignment="1" applyProtection="1">
      <alignment vertical="top" wrapText="1"/>
      <protection locked="0"/>
    </xf>
    <xf numFmtId="14" fontId="48" fillId="4" borderId="27" xfId="0" applyNumberFormat="1" applyFont="1" applyFill="1" applyBorder="1" applyAlignment="1" applyProtection="1">
      <alignment horizontal="right"/>
    </xf>
    <xf numFmtId="49" fontId="82" fillId="2" borderId="3" xfId="3" applyNumberFormat="1" applyFill="1" applyBorder="1" applyAlignment="1" applyProtection="1">
      <protection locked="0"/>
    </xf>
    <xf numFmtId="184" fontId="57" fillId="0" borderId="112" xfId="0" applyNumberFormat="1" applyFont="1" applyFill="1" applyBorder="1" applyAlignment="1" applyProtection="1">
      <protection locked="0"/>
    </xf>
    <xf numFmtId="184" fontId="57" fillId="0" borderId="112" xfId="0" applyNumberFormat="1" applyFont="1" applyFill="1" applyBorder="1" applyAlignment="1"/>
    <xf numFmtId="49" fontId="0" fillId="0" borderId="104" xfId="0" applyNumberFormat="1" applyBorder="1" applyAlignment="1" applyProtection="1">
      <protection locked="0"/>
    </xf>
    <xf numFmtId="49" fontId="0" fillId="0" borderId="4" xfId="0" applyNumberFormat="1" applyBorder="1" applyAlignment="1"/>
    <xf numFmtId="49" fontId="0" fillId="0" borderId="5" xfId="0" applyNumberFormat="1" applyBorder="1" applyAlignment="1"/>
    <xf numFmtId="10" fontId="41" fillId="2" borderId="3" xfId="4" applyNumberFormat="1" applyFont="1" applyFill="1" applyBorder="1" applyAlignment="1" applyProtection="1">
      <alignment horizontal="center"/>
      <protection locked="0"/>
    </xf>
    <xf numFmtId="10" fontId="0" fillId="0" borderId="4" xfId="4" applyNumberFormat="1" applyFont="1" applyBorder="1" applyAlignment="1">
      <alignment horizontal="center"/>
    </xf>
    <xf numFmtId="10" fontId="0" fillId="0" borderId="5" xfId="4" applyNumberFormat="1" applyFont="1" applyBorder="1" applyAlignment="1">
      <alignment horizontal="center"/>
    </xf>
    <xf numFmtId="183" fontId="0" fillId="0" borderId="5" xfId="0" applyNumberFormat="1" applyBorder="1" applyAlignment="1">
      <alignment horizontal="center"/>
    </xf>
    <xf numFmtId="10" fontId="0" fillId="0" borderId="4" xfId="4" applyNumberFormat="1" applyFont="1" applyBorder="1" applyAlignment="1" applyProtection="1">
      <alignment horizontal="center"/>
      <protection locked="0"/>
    </xf>
    <xf numFmtId="10" fontId="0" fillId="0" borderId="5" xfId="4" applyNumberFormat="1" applyFont="1" applyBorder="1" applyAlignment="1" applyProtection="1">
      <alignment horizontal="center"/>
      <protection locked="0"/>
    </xf>
    <xf numFmtId="0" fontId="0" fillId="0" borderId="5" xfId="0" applyBorder="1" applyAlignment="1" applyProtection="1">
      <protection locked="0"/>
    </xf>
    <xf numFmtId="0" fontId="49" fillId="2" borderId="3" xfId="0" applyFont="1" applyFill="1" applyBorder="1" applyAlignment="1" applyProtection="1">
      <protection locked="0"/>
    </xf>
    <xf numFmtId="0" fontId="55" fillId="0" borderId="5" xfId="0" applyFont="1" applyBorder="1" applyAlignment="1"/>
    <xf numFmtId="0" fontId="57" fillId="2" borderId="3" xfId="0" applyFont="1" applyFill="1" applyBorder="1" applyAlignment="1" applyProtection="1">
      <protection locked="0"/>
    </xf>
    <xf numFmtId="0" fontId="55" fillId="0" borderId="4" xfId="0" applyFont="1" applyBorder="1" applyAlignment="1"/>
    <xf numFmtId="0" fontId="49" fillId="2" borderId="39" xfId="0" applyFont="1" applyFill="1" applyBorder="1" applyAlignment="1" applyProtection="1">
      <alignment horizontal="center"/>
      <protection locked="0"/>
    </xf>
    <xf numFmtId="0" fontId="49" fillId="2" borderId="83" xfId="0" applyFont="1" applyFill="1" applyBorder="1" applyAlignment="1" applyProtection="1">
      <alignment horizontal="center"/>
      <protection locked="0"/>
    </xf>
    <xf numFmtId="0" fontId="49" fillId="3" borderId="3" xfId="0" applyFont="1" applyFill="1" applyBorder="1" applyAlignment="1" applyProtection="1"/>
    <xf numFmtId="0" fontId="55" fillId="3" borderId="4" xfId="0" applyFont="1" applyFill="1" applyBorder="1" applyAlignment="1" applyProtection="1"/>
    <xf numFmtId="0" fontId="55" fillId="3" borderId="5" xfId="0" applyFont="1" applyFill="1" applyBorder="1" applyAlignment="1" applyProtection="1"/>
    <xf numFmtId="0" fontId="49" fillId="2" borderId="4" xfId="0" applyFont="1" applyFill="1" applyBorder="1" applyAlignment="1" applyProtection="1">
      <protection locked="0"/>
    </xf>
    <xf numFmtId="0" fontId="49" fillId="2" borderId="5" xfId="0" applyFont="1" applyFill="1" applyBorder="1" applyAlignment="1" applyProtection="1">
      <protection locked="0"/>
    </xf>
    <xf numFmtId="0" fontId="49" fillId="2" borderId="39" xfId="0" applyFont="1" applyFill="1" applyBorder="1" applyAlignment="1" applyProtection="1">
      <protection locked="0"/>
    </xf>
    <xf numFmtId="0" fontId="55" fillId="0" borderId="112" xfId="0" applyFont="1" applyBorder="1" applyAlignment="1"/>
    <xf numFmtId="0" fontId="55" fillId="0" borderId="83" xfId="0" applyFont="1" applyBorder="1" applyAlignment="1"/>
    <xf numFmtId="0" fontId="55" fillId="0" borderId="112" xfId="0" applyFont="1" applyBorder="1" applyAlignment="1">
      <alignment horizontal="center"/>
    </xf>
    <xf numFmtId="0" fontId="55" fillId="0" borderId="83" xfId="0" applyFont="1" applyBorder="1" applyAlignment="1">
      <alignment horizontal="center"/>
    </xf>
    <xf numFmtId="0" fontId="49" fillId="4" borderId="44" xfId="0" applyFont="1" applyFill="1" applyBorder="1" applyAlignment="1" applyProtection="1">
      <alignment vertical="center" wrapText="1"/>
    </xf>
    <xf numFmtId="0" fontId="0" fillId="0" borderId="40" xfId="0" applyBorder="1" applyAlignment="1" applyProtection="1">
      <alignment vertical="center" wrapText="1"/>
    </xf>
    <xf numFmtId="0" fontId="0" fillId="0" borderId="110" xfId="0" applyBorder="1" applyAlignment="1" applyProtection="1">
      <alignment vertical="center" wrapText="1"/>
    </xf>
    <xf numFmtId="0" fontId="0" fillId="0" borderId="42" xfId="0" applyBorder="1" applyAlignment="1" applyProtection="1">
      <alignment vertical="center" wrapText="1"/>
    </xf>
    <xf numFmtId="0" fontId="0" fillId="0" borderId="33" xfId="0" applyBorder="1" applyAlignment="1" applyProtection="1">
      <alignment vertical="center" wrapText="1"/>
    </xf>
    <xf numFmtId="0" fontId="0" fillId="0" borderId="111" xfId="0" applyBorder="1" applyAlignment="1" applyProtection="1">
      <alignment vertical="center" wrapText="1"/>
    </xf>
    <xf numFmtId="0" fontId="49" fillId="2" borderId="84" xfId="0" applyFont="1" applyFill="1" applyBorder="1" applyAlignment="1" applyProtection="1">
      <alignment vertical="top" wrapText="1"/>
      <protection locked="0"/>
    </xf>
    <xf numFmtId="0" fontId="55" fillId="0" borderId="0" xfId="0" applyFont="1" applyBorder="1" applyAlignment="1" applyProtection="1">
      <alignment vertical="top" wrapText="1"/>
      <protection locked="0"/>
    </xf>
    <xf numFmtId="0" fontId="41" fillId="4" borderId="39" xfId="0" applyFont="1" applyFill="1" applyBorder="1" applyAlignment="1" applyProtection="1">
      <alignment horizontal="center"/>
    </xf>
    <xf numFmtId="0" fontId="41" fillId="4" borderId="83" xfId="0" applyFont="1" applyFill="1" applyBorder="1" applyAlignment="1" applyProtection="1">
      <alignment horizontal="center"/>
    </xf>
    <xf numFmtId="0" fontId="113" fillId="4" borderId="0" xfId="0" applyFont="1" applyFill="1" applyBorder="1" applyAlignment="1" applyProtection="1">
      <alignment vertical="top" wrapText="1"/>
    </xf>
    <xf numFmtId="0" fontId="114" fillId="0" borderId="59" xfId="0" applyFont="1" applyBorder="1" applyAlignment="1" applyProtection="1">
      <alignment wrapText="1"/>
    </xf>
    <xf numFmtId="0" fontId="41" fillId="2" borderId="3" xfId="0" applyFont="1" applyFill="1" applyBorder="1" applyAlignment="1" applyProtection="1">
      <alignment horizontal="center"/>
      <protection locked="0"/>
    </xf>
    <xf numFmtId="0" fontId="41" fillId="2" borderId="5" xfId="0" applyFont="1" applyFill="1" applyBorder="1" applyAlignment="1" applyProtection="1">
      <alignment horizontal="center"/>
      <protection locked="0"/>
    </xf>
    <xf numFmtId="0" fontId="28" fillId="2" borderId="3" xfId="0" applyFont="1" applyFill="1" applyBorder="1" applyAlignment="1" applyProtection="1">
      <protection locked="0"/>
    </xf>
    <xf numFmtId="0" fontId="151" fillId="0" borderId="0" xfId="0" applyFont="1" applyAlignment="1" applyProtection="1">
      <alignment horizontal="left" vertical="top" wrapText="1"/>
    </xf>
    <xf numFmtId="0" fontId="41" fillId="2" borderId="13" xfId="0" applyFont="1" applyFill="1" applyBorder="1" applyAlignment="1" applyProtection="1">
      <alignment horizontal="left"/>
      <protection locked="0"/>
    </xf>
    <xf numFmtId="0" fontId="93" fillId="0" borderId="0" xfId="0" applyFont="1" applyAlignment="1" applyProtection="1"/>
    <xf numFmtId="0" fontId="0" fillId="0" borderId="0" xfId="0" applyAlignment="1" applyProtection="1"/>
    <xf numFmtId="0" fontId="93" fillId="11" borderId="0" xfId="0" applyFont="1" applyFill="1" applyAlignment="1" applyProtection="1"/>
    <xf numFmtId="0" fontId="0" fillId="11" borderId="0" xfId="0" applyFill="1" applyAlignment="1" applyProtection="1"/>
    <xf numFmtId="0" fontId="93" fillId="0" borderId="0" xfId="0" applyFont="1" applyAlignment="1" applyProtection="1">
      <alignment wrapText="1"/>
    </xf>
    <xf numFmtId="0" fontId="0" fillId="0" borderId="0" xfId="0" applyProtection="1"/>
    <xf numFmtId="0" fontId="93" fillId="0" borderId="0" xfId="0" applyFont="1" applyAlignment="1" applyProtection="1">
      <alignment horizontal="center"/>
    </xf>
    <xf numFmtId="0" fontId="0" fillId="0" borderId="0" xfId="0" applyAlignment="1" applyProtection="1">
      <alignment horizontal="center"/>
    </xf>
    <xf numFmtId="0" fontId="49" fillId="2" borderId="108" xfId="0" applyFont="1" applyFill="1" applyBorder="1" applyAlignment="1" applyProtection="1">
      <alignment vertical="top" wrapText="1"/>
      <protection locked="0"/>
    </xf>
    <xf numFmtId="0" fontId="49" fillId="2" borderId="109" xfId="0" applyFont="1" applyFill="1" applyBorder="1" applyAlignment="1" applyProtection="1">
      <alignment vertical="top" wrapText="1"/>
      <protection locked="0"/>
    </xf>
    <xf numFmtId="0" fontId="49" fillId="2" borderId="32" xfId="0" applyFont="1" applyFill="1" applyBorder="1" applyAlignment="1" applyProtection="1">
      <alignment vertical="top" wrapText="1"/>
      <protection locked="0"/>
    </xf>
    <xf numFmtId="0" fontId="49" fillId="2" borderId="65" xfId="0" applyFont="1" applyFill="1" applyBorder="1" applyAlignment="1" applyProtection="1">
      <alignment vertical="top" wrapText="1"/>
      <protection locked="0"/>
    </xf>
    <xf numFmtId="0" fontId="49" fillId="2" borderId="103" xfId="0" applyFont="1" applyFill="1" applyBorder="1" applyAlignment="1" applyProtection="1">
      <alignment vertical="top" wrapText="1"/>
      <protection locked="0"/>
    </xf>
    <xf numFmtId="0" fontId="49" fillId="2" borderId="104" xfId="0" applyFont="1" applyFill="1" applyBorder="1" applyAlignment="1" applyProtection="1">
      <alignment vertical="top" wrapText="1"/>
      <protection locked="0"/>
    </xf>
    <xf numFmtId="0" fontId="28" fillId="2" borderId="3" xfId="0" applyFont="1" applyFill="1" applyBorder="1" applyAlignment="1" applyProtection="1">
      <alignment horizontal="center"/>
      <protection locked="0"/>
    </xf>
    <xf numFmtId="0" fontId="28" fillId="2" borderId="4" xfId="0" applyFont="1" applyFill="1" applyBorder="1" applyAlignment="1" applyProtection="1">
      <alignment horizontal="center"/>
      <protection locked="0"/>
    </xf>
    <xf numFmtId="0" fontId="28" fillId="2" borderId="5" xfId="0" applyFont="1" applyFill="1" applyBorder="1" applyAlignment="1" applyProtection="1">
      <alignment horizontal="center"/>
      <protection locked="0"/>
    </xf>
    <xf numFmtId="0" fontId="96" fillId="4" borderId="0" xfId="0" applyFont="1" applyFill="1" applyAlignment="1" applyProtection="1">
      <alignment vertical="top" wrapText="1"/>
    </xf>
    <xf numFmtId="0" fontId="97" fillId="0" borderId="0" xfId="0" applyFont="1" applyAlignment="1" applyProtection="1">
      <alignment vertical="top" wrapText="1"/>
    </xf>
    <xf numFmtId="0" fontId="69" fillId="4" borderId="9" xfId="0" applyFont="1" applyFill="1" applyBorder="1" applyAlignment="1" applyProtection="1">
      <alignment horizontal="center"/>
    </xf>
    <xf numFmtId="14" fontId="48" fillId="0" borderId="27" xfId="0" applyNumberFormat="1" applyFont="1" applyBorder="1" applyAlignment="1" applyProtection="1">
      <alignment horizontal="right"/>
    </xf>
    <xf numFmtId="0" fontId="17" fillId="3" borderId="3" xfId="0" applyFont="1" applyFill="1" applyBorder="1" applyAlignment="1" applyProtection="1">
      <alignment horizontal="center"/>
    </xf>
    <xf numFmtId="0" fontId="17" fillId="3" borderId="4" xfId="0" applyFont="1" applyFill="1" applyBorder="1" applyAlignment="1" applyProtection="1">
      <alignment horizontal="center"/>
    </xf>
    <xf numFmtId="0" fontId="17" fillId="3" borderId="5" xfId="0" applyFont="1" applyFill="1" applyBorder="1" applyAlignment="1" applyProtection="1">
      <alignment horizontal="center"/>
    </xf>
    <xf numFmtId="0" fontId="17" fillId="2" borderId="108" xfId="0" applyFont="1" applyFill="1" applyBorder="1" applyAlignment="1" applyProtection="1">
      <alignment horizontal="center"/>
      <protection locked="0"/>
    </xf>
    <xf numFmtId="0" fontId="17" fillId="2" borderId="63" xfId="0" applyFont="1" applyFill="1" applyBorder="1" applyAlignment="1" applyProtection="1">
      <alignment horizontal="center"/>
      <protection locked="0"/>
    </xf>
    <xf numFmtId="0" fontId="17" fillId="2" borderId="109" xfId="0" applyFont="1" applyFill="1" applyBorder="1" applyAlignment="1" applyProtection="1">
      <alignment horizontal="center"/>
      <protection locked="0"/>
    </xf>
    <xf numFmtId="0" fontId="17" fillId="2" borderId="103" xfId="0" applyFont="1" applyFill="1" applyBorder="1" applyAlignment="1" applyProtection="1">
      <alignment horizontal="center"/>
      <protection locked="0"/>
    </xf>
    <xf numFmtId="0" fontId="17" fillId="2" borderId="19" xfId="0" applyFont="1" applyFill="1" applyBorder="1" applyAlignment="1" applyProtection="1">
      <alignment horizontal="center"/>
      <protection locked="0"/>
    </xf>
    <xf numFmtId="0" fontId="17" fillId="2" borderId="104" xfId="0" applyFont="1" applyFill="1" applyBorder="1" applyAlignment="1" applyProtection="1">
      <alignment horizontal="center"/>
      <protection locked="0"/>
    </xf>
    <xf numFmtId="0" fontId="145" fillId="0" borderId="13" xfId="0" applyFont="1" applyBorder="1" applyAlignment="1">
      <alignment horizontal="left"/>
    </xf>
    <xf numFmtId="0" fontId="139" fillId="2" borderId="13" xfId="0" applyFont="1" applyFill="1" applyBorder="1" applyAlignment="1" applyProtection="1">
      <alignment horizontal="left"/>
      <protection locked="0"/>
    </xf>
    <xf numFmtId="0" fontId="130" fillId="0" borderId="0" xfId="0" applyFont="1" applyAlignment="1">
      <alignment horizontal="center"/>
    </xf>
    <xf numFmtId="0" fontId="143" fillId="0" borderId="0" xfId="0" applyFont="1" applyAlignment="1">
      <alignment horizontal="center"/>
    </xf>
    <xf numFmtId="0" fontId="146" fillId="2" borderId="13" xfId="0" applyFont="1" applyFill="1" applyBorder="1" applyAlignment="1" applyProtection="1">
      <alignment horizontal="left"/>
      <protection locked="0"/>
    </xf>
    <xf numFmtId="0" fontId="147" fillId="0" borderId="0" xfId="0" applyFont="1" applyAlignment="1">
      <alignment horizontal="left" vertical="top" wrapText="1"/>
    </xf>
    <xf numFmtId="0" fontId="139" fillId="0" borderId="0" xfId="0" applyFont="1" applyAlignment="1">
      <alignment horizontal="left" vertical="top" wrapText="1"/>
    </xf>
    <xf numFmtId="0" fontId="139" fillId="0" borderId="0" xfId="0" applyFont="1" applyAlignment="1">
      <alignment vertical="top" wrapText="1"/>
    </xf>
    <xf numFmtId="0" fontId="86" fillId="0" borderId="112" xfId="0" applyFont="1" applyBorder="1" applyAlignment="1">
      <alignment horizontal="center"/>
    </xf>
    <xf numFmtId="170" fontId="139" fillId="2" borderId="39" xfId="0" applyNumberFormat="1" applyFont="1" applyFill="1" applyBorder="1" applyAlignment="1" applyProtection="1">
      <alignment horizontal="left"/>
      <protection locked="0"/>
    </xf>
    <xf numFmtId="170" fontId="139" fillId="2" borderId="83" xfId="0" applyNumberFormat="1" applyFont="1" applyFill="1" applyBorder="1" applyAlignment="1" applyProtection="1">
      <alignment horizontal="left"/>
      <protection locked="0"/>
    </xf>
    <xf numFmtId="0" fontId="90" fillId="2" borderId="13" xfId="0" applyFont="1" applyFill="1" applyBorder="1" applyAlignment="1" applyProtection="1">
      <alignment horizontal="left" wrapText="1"/>
      <protection locked="0"/>
    </xf>
    <xf numFmtId="0" fontId="90" fillId="3" borderId="13" xfId="0" applyFont="1" applyFill="1" applyBorder="1" applyAlignment="1" applyProtection="1">
      <alignment horizontal="left" wrapText="1"/>
    </xf>
    <xf numFmtId="0" fontId="90" fillId="0" borderId="13" xfId="0" applyFont="1" applyBorder="1" applyAlignment="1" applyProtection="1">
      <alignment horizontal="left" wrapText="1"/>
    </xf>
    <xf numFmtId="0" fontId="90" fillId="2" borderId="13" xfId="0" applyFont="1" applyFill="1" applyBorder="1" applyAlignment="1" applyProtection="1">
      <alignment horizontal="center" wrapText="1"/>
      <protection locked="0"/>
    </xf>
    <xf numFmtId="0" fontId="90" fillId="2" borderId="13" xfId="0" applyFont="1" applyFill="1" applyBorder="1" applyAlignment="1" applyProtection="1">
      <alignment wrapText="1"/>
      <protection locked="0"/>
    </xf>
    <xf numFmtId="0" fontId="90" fillId="0" borderId="39" xfId="0" applyFont="1" applyBorder="1" applyAlignment="1" applyProtection="1">
      <alignment wrapText="1"/>
    </xf>
    <xf numFmtId="0" fontId="90" fillId="0" borderId="83" xfId="0" applyFont="1" applyBorder="1" applyAlignment="1" applyProtection="1">
      <alignment wrapText="1"/>
    </xf>
    <xf numFmtId="0" fontId="90" fillId="0" borderId="13" xfId="0" applyFont="1" applyBorder="1" applyAlignment="1" applyProtection="1">
      <alignment wrapText="1"/>
    </xf>
    <xf numFmtId="0" fontId="90" fillId="3" borderId="13" xfId="0" applyFont="1" applyFill="1" applyBorder="1" applyAlignment="1" applyProtection="1">
      <alignment horizontal="center" wrapText="1"/>
    </xf>
    <xf numFmtId="0" fontId="90" fillId="3" borderId="13" xfId="0" applyFont="1" applyFill="1" applyBorder="1" applyAlignment="1" applyProtection="1">
      <alignment wrapText="1"/>
    </xf>
    <xf numFmtId="175" fontId="90" fillId="2" borderId="13" xfId="0" applyNumberFormat="1" applyFont="1" applyFill="1" applyBorder="1" applyAlignment="1" applyProtection="1">
      <alignment horizontal="right" wrapText="1"/>
      <protection locked="0"/>
    </xf>
    <xf numFmtId="175" fontId="90" fillId="3" borderId="13" xfId="0" applyNumberFormat="1" applyFont="1" applyFill="1" applyBorder="1" applyAlignment="1" applyProtection="1">
      <alignment horizontal="right" wrapText="1"/>
    </xf>
    <xf numFmtId="0" fontId="90" fillId="0" borderId="39" xfId="0" applyFont="1" applyBorder="1" applyAlignment="1" applyProtection="1">
      <alignment horizontal="left" wrapText="1"/>
    </xf>
    <xf numFmtId="0" fontId="90" fillId="0" borderId="83" xfId="0" applyFont="1" applyBorder="1" applyAlignment="1" applyProtection="1">
      <alignment horizontal="left" wrapText="1"/>
    </xf>
    <xf numFmtId="0" fontId="90" fillId="2" borderId="39" xfId="0" applyFont="1" applyFill="1" applyBorder="1" applyAlignment="1" applyProtection="1">
      <alignment horizontal="left" wrapText="1"/>
      <protection locked="0"/>
    </xf>
    <xf numFmtId="0" fontId="90" fillId="2" borderId="83" xfId="0" applyFont="1" applyFill="1" applyBorder="1" applyAlignment="1" applyProtection="1">
      <alignment horizontal="left" wrapText="1"/>
      <protection locked="0"/>
    </xf>
    <xf numFmtId="0" fontId="90" fillId="3" borderId="39" xfId="0" applyFont="1" applyFill="1" applyBorder="1" applyAlignment="1" applyProtection="1">
      <alignment horizontal="left" wrapText="1"/>
    </xf>
    <xf numFmtId="0" fontId="90" fillId="3" borderId="83" xfId="0" applyFont="1" applyFill="1" applyBorder="1" applyAlignment="1" applyProtection="1">
      <alignment horizontal="left" wrapText="1"/>
    </xf>
    <xf numFmtId="0" fontId="90" fillId="2" borderId="112" xfId="0" applyFont="1" applyFill="1" applyBorder="1" applyAlignment="1" applyProtection="1">
      <alignment horizontal="left" wrapText="1"/>
      <protection locked="0"/>
    </xf>
    <xf numFmtId="175" fontId="90" fillId="2" borderId="39" xfId="0" applyNumberFormat="1" applyFont="1" applyFill="1" applyBorder="1" applyAlignment="1" applyProtection="1">
      <alignment horizontal="right" wrapText="1"/>
      <protection locked="0"/>
    </xf>
    <xf numFmtId="175" fontId="90" fillId="2" borderId="83" xfId="0" applyNumberFormat="1" applyFont="1" applyFill="1" applyBorder="1" applyAlignment="1" applyProtection="1">
      <alignment horizontal="right" wrapText="1"/>
      <protection locked="0"/>
    </xf>
    <xf numFmtId="0" fontId="0" fillId="2" borderId="39" xfId="0" applyFill="1" applyBorder="1" applyAlignment="1" applyProtection="1">
      <alignment horizontal="left" wrapText="1"/>
      <protection locked="0"/>
    </xf>
    <xf numFmtId="0" fontId="0" fillId="2" borderId="83" xfId="0" applyFill="1" applyBorder="1" applyAlignment="1" applyProtection="1">
      <alignment horizontal="left" wrapText="1"/>
      <protection locked="0"/>
    </xf>
    <xf numFmtId="175" fontId="90" fillId="3" borderId="39" xfId="0" applyNumberFormat="1" applyFont="1" applyFill="1" applyBorder="1" applyAlignment="1" applyProtection="1">
      <alignment horizontal="right" wrapText="1"/>
    </xf>
    <xf numFmtId="175" fontId="90" fillId="3" borderId="83" xfId="0" applyNumberFormat="1" applyFont="1" applyFill="1" applyBorder="1" applyAlignment="1" applyProtection="1">
      <alignment horizontal="right" wrapText="1"/>
    </xf>
    <xf numFmtId="0" fontId="0" fillId="3" borderId="39" xfId="0" applyFill="1" applyBorder="1" applyAlignment="1" applyProtection="1">
      <alignment horizontal="left" wrapText="1"/>
    </xf>
    <xf numFmtId="0" fontId="0" fillId="3" borderId="83" xfId="0" applyFill="1" applyBorder="1" applyAlignment="1" applyProtection="1">
      <alignment horizontal="left" wrapText="1"/>
    </xf>
    <xf numFmtId="0" fontId="90" fillId="0" borderId="13" xfId="0" applyFont="1" applyFill="1" applyBorder="1" applyAlignment="1" applyProtection="1">
      <alignment horizontal="left" wrapText="1"/>
    </xf>
    <xf numFmtId="0" fontId="142" fillId="0" borderId="13" xfId="0" applyFont="1" applyBorder="1" applyAlignment="1" applyProtection="1">
      <alignment horizontal="left" wrapText="1"/>
    </xf>
    <xf numFmtId="175" fontId="90" fillId="3" borderId="13" xfId="0" applyNumberFormat="1" applyFont="1" applyFill="1" applyBorder="1" applyAlignment="1" applyProtection="1">
      <alignment horizontal="right" wrapText="1"/>
      <protection locked="0"/>
    </xf>
    <xf numFmtId="0" fontId="90" fillId="2" borderId="44" xfId="0" applyFont="1"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10" xfId="0" applyFill="1" applyBorder="1" applyAlignment="1" applyProtection="1">
      <alignment horizontal="left" vertical="top" wrapText="1"/>
      <protection locked="0"/>
    </xf>
    <xf numFmtId="0" fontId="0" fillId="2" borderId="58"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9" xfId="0" applyFill="1" applyBorder="1" applyAlignment="1" applyProtection="1">
      <alignment horizontal="left" vertical="top" wrapText="1"/>
      <protection locked="0"/>
    </xf>
    <xf numFmtId="0" fontId="0" fillId="2" borderId="42"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111" xfId="0" applyFill="1" applyBorder="1" applyAlignment="1" applyProtection="1">
      <alignment horizontal="left" vertical="top" wrapText="1"/>
      <protection locked="0"/>
    </xf>
    <xf numFmtId="0" fontId="90" fillId="2" borderId="43" xfId="0" applyFont="1" applyFill="1" applyBorder="1" applyAlignment="1" applyProtection="1">
      <alignment horizontal="left" wrapText="1"/>
      <protection locked="0"/>
    </xf>
    <xf numFmtId="0" fontId="142" fillId="0" borderId="0" xfId="0" applyFont="1" applyBorder="1" applyAlignment="1" applyProtection="1">
      <alignment horizontal="left" wrapText="1"/>
    </xf>
    <xf numFmtId="0" fontId="90" fillId="0" borderId="112" xfId="0" applyFont="1" applyBorder="1" applyAlignment="1" applyProtection="1">
      <alignment horizontal="left" wrapText="1"/>
    </xf>
    <xf numFmtId="0" fontId="139" fillId="0" borderId="0" xfId="0" applyFont="1" applyAlignment="1" applyProtection="1">
      <alignment horizontal="left" vertical="top" wrapText="1"/>
    </xf>
    <xf numFmtId="0" fontId="139" fillId="0" borderId="113" xfId="0" applyFont="1" applyFill="1" applyBorder="1" applyAlignment="1" applyProtection="1">
      <alignment horizontal="left" wrapText="1"/>
      <protection locked="0"/>
    </xf>
    <xf numFmtId="0" fontId="139" fillId="0" borderId="33" xfId="0" applyFont="1" applyFill="1" applyBorder="1" applyAlignment="1" applyProtection="1">
      <alignment horizontal="left" wrapText="1"/>
      <protection locked="0"/>
    </xf>
    <xf numFmtId="170" fontId="139" fillId="0" borderId="113" xfId="0" applyNumberFormat="1" applyFont="1" applyFill="1" applyBorder="1" applyAlignment="1" applyProtection="1">
      <alignment horizontal="left" wrapText="1"/>
      <protection locked="0"/>
    </xf>
    <xf numFmtId="170" fontId="139" fillId="0" borderId="33" xfId="0" applyNumberFormat="1" applyFont="1" applyFill="1" applyBorder="1" applyAlignment="1" applyProtection="1">
      <alignment horizontal="left" wrapText="1"/>
      <protection locked="0"/>
    </xf>
    <xf numFmtId="0" fontId="152" fillId="0" borderId="0" xfId="0" applyFont="1" applyAlignment="1"/>
  </cellXfs>
  <cellStyles count="5">
    <cellStyle name="Comma" xfId="1" builtinId="3"/>
    <cellStyle name="Currency" xfId="2" builtinId="4"/>
    <cellStyle name="Hyperlink" xfId="3" builtinId="8"/>
    <cellStyle name="Normal" xfId="0" builtinId="0"/>
    <cellStyle name="Percent" xfId="4" builtinId="5"/>
  </cellStyles>
  <dxfs count="100">
    <dxf>
      <fill>
        <patternFill patternType="none">
          <bgColor indexed="65"/>
        </patternFill>
      </fill>
    </dxf>
    <dxf>
      <font>
        <b/>
        <i val="0"/>
        <condense val="0"/>
        <extend val="0"/>
        <color indexed="10"/>
      </font>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34"/>
        </patternFill>
      </fill>
    </dxf>
    <dxf>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ill>
        <patternFill>
          <bgColor indexed="43"/>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34"/>
        </patternFill>
      </fill>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9"/>
        </patternFill>
      </fill>
    </dxf>
    <dxf>
      <fill>
        <patternFill>
          <bgColor indexed="10"/>
        </patternFill>
      </fill>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condense val="0"/>
        <extend val="0"/>
        <color indexed="10"/>
      </font>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patternType="solid">
          <bgColor indexed="43"/>
        </patternFill>
      </fill>
    </dxf>
    <dxf>
      <fill>
        <patternFill patternType="none">
          <bgColor indexed="65"/>
        </patternFill>
      </fill>
    </dxf>
    <dxf>
      <fill>
        <patternFill>
          <bgColor indexed="9"/>
        </patternFill>
      </fill>
    </dxf>
    <dxf>
      <fill>
        <patternFill>
          <bgColor indexed="10"/>
        </patternFill>
      </fill>
    </dxf>
    <dxf>
      <font>
        <b/>
        <i val="0"/>
        <condense val="0"/>
        <extend val="0"/>
        <color indexed="10"/>
      </font>
      <fill>
        <patternFill>
          <bgColor indexed="22"/>
        </patternFill>
      </fill>
    </dxf>
    <dxf>
      <fill>
        <patternFill>
          <bgColor indexed="9"/>
        </patternFill>
      </fill>
    </dxf>
    <dxf>
      <fill>
        <patternFill>
          <bgColor indexed="10"/>
        </patternFill>
      </fill>
    </dxf>
    <dxf>
      <font>
        <b/>
        <i val="0"/>
        <condense val="0"/>
        <extend val="0"/>
        <color indexed="10"/>
      </font>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6" headers="0" preserveFormatting="0" connectionId="1" xr16:uid="{00000000-0016-0000-0300-000002000000}" autoFormatId="0" applyNumberFormats="0" applyBorderFormats="0" applyFontFormats="0" applyPatternFormats="0" applyAlignmentFormats="0" applyWidthHeightFormats="1"/>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4" headers="0" preserveFormatting="0" connectionId="2" xr16:uid="{00000000-0016-0000-0300-000001000000}" autoFormatId="0" applyNumberFormats="0" applyBorderFormats="0" applyFontFormats="0" applyPatternFormats="0" applyAlignmentFormats="0" applyWidthHeightFormats="1"/>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1" headers="0" preserveFormatting="0" connectionId="3" xr16:uid="{00000000-0016-0000-0300-000000000000}" autoFormatId="0" applyNumberFormats="0" applyBorderFormats="0" applyFontFormats="0" applyPatternFormats="0" applyAlignmentFormats="0" applyWidthHeightFormats="1"/>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incomelimits" growShrinkType="overwriteClear" connectionId="4" xr16:uid="{00000000-0016-0000-0D00-000003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fmrdata_5" growShrinkType="overwriteClear" connectionId="5" xr16:uid="{00000000-0016-0000-0E00-000004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Qct_2" growShrinkType="overwriteClear" connectionId="6" xr16:uid="{00000000-0016-0000-0F00-000005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pageSetUpPr autoPageBreaks="0"/>
  </sheetPr>
  <dimension ref="A1:W356"/>
  <sheetViews>
    <sheetView showGridLines="0" tabSelected="1" zoomScaleNormal="100" workbookViewId="0">
      <selection activeCell="V10" sqref="V10"/>
    </sheetView>
  </sheetViews>
  <sheetFormatPr defaultColWidth="9.6640625" defaultRowHeight="12.75"/>
  <cols>
    <col min="1" max="1" width="3.6640625" style="101" customWidth="1"/>
    <col min="2" max="2" width="1.6640625" style="101" customWidth="1"/>
    <col min="3" max="3" width="18.83203125" style="103" customWidth="1"/>
    <col min="4" max="9" width="13.83203125" style="103" customWidth="1"/>
    <col min="10" max="10" width="3.83203125" style="103" customWidth="1"/>
    <col min="11" max="11" width="24.6640625" style="103" customWidth="1"/>
    <col min="12" max="16" width="9.6640625" style="103" hidden="1" customWidth="1"/>
    <col min="17" max="16384" width="9.6640625" style="103"/>
  </cols>
  <sheetData>
    <row r="1" spans="1:23" s="65" customFormat="1" ht="14.25">
      <c r="A1" s="63" t="str">
        <f>"One Stop2000 Affordable Housing Finance Application [Version " &amp; version_number &amp; "] ©"</f>
        <v>One Stop2000 Affordable Housing Finance Application [Version 1.21] ©</v>
      </c>
      <c r="B1" s="64"/>
      <c r="C1" s="64"/>
      <c r="D1" s="64"/>
      <c r="E1" s="64"/>
      <c r="F1" s="64"/>
      <c r="G1" s="64"/>
      <c r="H1" s="64"/>
      <c r="I1" s="64"/>
      <c r="J1" s="64"/>
      <c r="S1" s="84"/>
      <c r="T1" s="84"/>
      <c r="U1" s="84"/>
      <c r="V1" s="84"/>
      <c r="W1" s="84"/>
    </row>
    <row r="2" spans="1:23" s="65" customFormat="1" ht="14.25">
      <c r="A2" s="64"/>
      <c r="B2" s="64"/>
      <c r="C2" s="64"/>
      <c r="D2" s="66"/>
      <c r="E2" s="64"/>
      <c r="F2" s="64"/>
      <c r="G2" s="64"/>
      <c r="H2" s="64"/>
      <c r="I2" s="67" t="s">
        <v>631</v>
      </c>
      <c r="J2" s="64"/>
      <c r="S2" s="84"/>
      <c r="T2" s="84"/>
      <c r="U2" s="84"/>
      <c r="V2" s="84"/>
      <c r="W2" s="84"/>
    </row>
    <row r="3" spans="1:23" s="70" customFormat="1" ht="26.25">
      <c r="A3" s="68" t="s">
        <v>632</v>
      </c>
      <c r="B3" s="68"/>
      <c r="C3" s="68"/>
      <c r="D3" s="68"/>
      <c r="E3" s="68"/>
      <c r="F3" s="69"/>
      <c r="G3" s="69"/>
      <c r="H3" s="68"/>
      <c r="I3" s="68"/>
      <c r="J3" s="68"/>
      <c r="S3" s="84"/>
      <c r="T3" s="84"/>
      <c r="U3" s="84"/>
      <c r="V3" s="84"/>
      <c r="W3" s="84"/>
    </row>
    <row r="4" spans="1:23" s="70" customFormat="1" ht="27" thickBot="1">
      <c r="A4" s="69" t="s">
        <v>633</v>
      </c>
      <c r="B4" s="68"/>
      <c r="C4" s="71"/>
      <c r="D4" s="72"/>
      <c r="E4" s="72"/>
      <c r="F4" s="72"/>
      <c r="G4" s="72"/>
      <c r="H4" s="72"/>
      <c r="I4" s="72"/>
      <c r="J4" s="72"/>
      <c r="S4" s="84"/>
      <c r="T4" s="84"/>
      <c r="U4" s="84"/>
      <c r="V4" s="84"/>
      <c r="W4" s="84"/>
    </row>
    <row r="5" spans="1:23" s="78" customFormat="1" ht="26.25" thickBot="1">
      <c r="A5" s="73" t="s">
        <v>634</v>
      </c>
      <c r="B5" s="74"/>
      <c r="C5" s="75"/>
      <c r="D5" s="76"/>
      <c r="E5" s="74"/>
      <c r="F5" s="74"/>
      <c r="G5" s="74"/>
      <c r="H5" s="74"/>
      <c r="I5" s="74"/>
      <c r="J5" s="77"/>
      <c r="K5" s="70"/>
      <c r="Q5" s="70"/>
      <c r="S5" s="84"/>
      <c r="T5" s="84"/>
      <c r="U5" s="84"/>
      <c r="V5" s="84"/>
      <c r="W5" s="84"/>
    </row>
    <row r="6" spans="1:23" s="85" customFormat="1" ht="15" customHeight="1" thickTop="1">
      <c r="A6" s="79"/>
      <c r="B6" s="80"/>
      <c r="C6" s="80"/>
      <c r="D6" s="81"/>
      <c r="E6" s="82"/>
      <c r="F6" s="82"/>
      <c r="G6" s="82"/>
      <c r="H6" s="82"/>
      <c r="I6" s="82"/>
      <c r="J6" s="83"/>
      <c r="K6" s="70"/>
      <c r="L6" s="84"/>
      <c r="M6" s="84"/>
      <c r="N6" s="84"/>
      <c r="O6" s="84"/>
      <c r="P6" s="84"/>
      <c r="Q6" s="70"/>
      <c r="S6" s="84"/>
      <c r="T6" s="84"/>
      <c r="U6" s="84"/>
      <c r="V6" s="84"/>
      <c r="W6" s="84"/>
    </row>
    <row r="7" spans="1:23" s="84" customFormat="1" ht="15" customHeight="1">
      <c r="A7" s="86">
        <v>1</v>
      </c>
      <c r="B7" s="87" t="s">
        <v>636</v>
      </c>
      <c r="C7" s="87" t="s">
        <v>635</v>
      </c>
      <c r="D7" s="88"/>
      <c r="E7" s="1217"/>
      <c r="F7" s="1218"/>
      <c r="G7" s="1218"/>
      <c r="H7" s="1218"/>
      <c r="I7" s="1219"/>
      <c r="J7" s="89"/>
      <c r="K7" s="70"/>
      <c r="Q7" s="70"/>
    </row>
    <row r="8" spans="1:23" s="84" customFormat="1" ht="15" customHeight="1">
      <c r="A8" s="902" t="s">
        <v>579</v>
      </c>
      <c r="B8" s="87" t="s">
        <v>636</v>
      </c>
      <c r="C8" s="87" t="s">
        <v>581</v>
      </c>
      <c r="D8"/>
      <c r="E8" s="1247"/>
      <c r="F8" s="1248"/>
      <c r="G8" s="1248"/>
      <c r="H8" s="1248"/>
      <c r="I8" s="1249"/>
      <c r="J8" s="89"/>
      <c r="K8" s="70"/>
      <c r="Q8" s="70"/>
    </row>
    <row r="9" spans="1:23" s="84" customFormat="1" ht="15" customHeight="1">
      <c r="A9" s="902" t="s">
        <v>580</v>
      </c>
      <c r="B9" s="87" t="s">
        <v>636</v>
      </c>
      <c r="C9" s="87" t="s">
        <v>582</v>
      </c>
      <c r="D9"/>
      <c r="E9" s="233"/>
      <c r="F9"/>
      <c r="G9" s="903" t="s">
        <v>583</v>
      </c>
      <c r="H9"/>
      <c r="I9" s="233"/>
      <c r="J9" s="89"/>
      <c r="K9" s="70"/>
      <c r="Q9" s="70"/>
    </row>
    <row r="10" spans="1:23" s="84" customFormat="1" ht="15" customHeight="1">
      <c r="A10" s="902"/>
      <c r="B10" s="87"/>
      <c r="C10" s="87"/>
      <c r="D10"/>
      <c r="E10"/>
      <c r="F10"/>
      <c r="G10"/>
      <c r="H10"/>
      <c r="I10"/>
      <c r="J10" s="89"/>
      <c r="K10" s="70"/>
      <c r="Q10" s="70"/>
    </row>
    <row r="11" spans="1:23" s="84" customFormat="1" ht="15" customHeight="1">
      <c r="A11" s="86">
        <f>A7+1</f>
        <v>2</v>
      </c>
      <c r="B11" s="87" t="s">
        <v>636</v>
      </c>
      <c r="C11" s="87" t="s">
        <v>714</v>
      </c>
      <c r="D11" s="88"/>
      <c r="E11" s="1220"/>
      <c r="F11" s="1221"/>
      <c r="G11" s="1221"/>
      <c r="H11" s="1221"/>
      <c r="I11" s="1222"/>
      <c r="J11" s="89"/>
      <c r="Q11" s="70"/>
    </row>
    <row r="12" spans="1:23" s="84" customFormat="1" ht="15" customHeight="1">
      <c r="A12" s="86">
        <f>A11+1</f>
        <v>3</v>
      </c>
      <c r="B12" s="87" t="s">
        <v>636</v>
      </c>
      <c r="C12" s="87" t="s">
        <v>327</v>
      </c>
      <c r="D12" s="88"/>
      <c r="E12" s="1225"/>
      <c r="F12" s="1226"/>
      <c r="G12" s="88"/>
      <c r="H12" s="88"/>
      <c r="I12" s="88"/>
      <c r="J12" s="89"/>
      <c r="Q12" s="70"/>
    </row>
    <row r="13" spans="1:23" s="84" customFormat="1" ht="15" customHeight="1">
      <c r="A13" s="86">
        <f>A12+1</f>
        <v>4</v>
      </c>
      <c r="B13" s="87" t="s">
        <v>636</v>
      </c>
      <c r="C13" s="87" t="s">
        <v>328</v>
      </c>
      <c r="D13" s="88"/>
      <c r="E13" s="1227"/>
      <c r="F13" s="1228"/>
      <c r="G13" s="1229"/>
      <c r="H13" s="90" t="s">
        <v>716</v>
      </c>
      <c r="I13" s="223"/>
      <c r="J13" s="89"/>
      <c r="Q13" s="70"/>
    </row>
    <row r="14" spans="1:23" s="65" customFormat="1" ht="15" customHeight="1">
      <c r="A14" s="91"/>
      <c r="B14" s="64"/>
      <c r="C14" s="88"/>
      <c r="D14" s="92"/>
      <c r="E14" s="67"/>
      <c r="F14" s="67"/>
      <c r="G14" s="64"/>
      <c r="H14" s="67" t="s">
        <v>637</v>
      </c>
      <c r="I14" s="67" t="s">
        <v>638</v>
      </c>
      <c r="J14" s="93"/>
      <c r="K14" s="225"/>
      <c r="Q14" s="70"/>
      <c r="S14" s="84"/>
      <c r="T14" s="84"/>
      <c r="U14" s="84"/>
      <c r="V14" s="84"/>
      <c r="W14" s="84"/>
    </row>
    <row r="15" spans="1:23" s="65" customFormat="1" ht="15" customHeight="1">
      <c r="A15" s="91">
        <f>A13+1</f>
        <v>5</v>
      </c>
      <c r="B15" s="64" t="s">
        <v>636</v>
      </c>
      <c r="C15" s="87" t="s">
        <v>329</v>
      </c>
      <c r="D15" s="867" t="s">
        <v>161</v>
      </c>
      <c r="E15" s="868"/>
      <c r="F15" s="87"/>
      <c r="G15" s="64"/>
      <c r="H15" s="67"/>
      <c r="I15" s="67"/>
      <c r="J15" s="93"/>
      <c r="K15" s="779"/>
      <c r="Q15" s="70"/>
      <c r="S15" s="84"/>
      <c r="T15" s="84"/>
      <c r="U15" s="84"/>
      <c r="V15" s="84"/>
      <c r="W15" s="84"/>
    </row>
    <row r="16" spans="1:23" s="65" customFormat="1" ht="15" customHeight="1">
      <c r="A16" s="91"/>
      <c r="B16" s="64"/>
      <c r="C16" s="88"/>
      <c r="D16" s="92"/>
      <c r="E16" s="67"/>
      <c r="F16" s="67"/>
      <c r="G16" s="64"/>
      <c r="H16" s="67"/>
      <c r="I16" s="67"/>
      <c r="J16" s="93"/>
      <c r="Q16" s="70"/>
      <c r="S16" s="84"/>
      <c r="T16" s="84"/>
      <c r="U16" s="84"/>
      <c r="V16" s="84"/>
      <c r="W16" s="84"/>
    </row>
    <row r="17" spans="1:23" s="84" customFormat="1" ht="15" customHeight="1">
      <c r="A17" s="94">
        <f>A15+1</f>
        <v>6</v>
      </c>
      <c r="B17" s="87" t="s">
        <v>636</v>
      </c>
      <c r="C17" s="87" t="s">
        <v>330</v>
      </c>
      <c r="D17" s="224" t="s">
        <v>325</v>
      </c>
      <c r="E17" s="95"/>
      <c r="F17" s="87"/>
      <c r="G17" s="87"/>
      <c r="H17" s="88"/>
      <c r="I17" s="95"/>
      <c r="J17" s="93"/>
    </row>
    <row r="18" spans="1:23" s="101" customFormat="1" ht="15" customHeight="1">
      <c r="A18" s="96"/>
      <c r="B18" s="97"/>
      <c r="C18" s="226"/>
      <c r="D18" s="98"/>
      <c r="E18" s="99"/>
      <c r="F18" s="99"/>
      <c r="G18" s="99"/>
      <c r="H18" s="100"/>
      <c r="I18" s="99"/>
      <c r="J18" s="93"/>
      <c r="S18" s="84"/>
      <c r="T18" s="84"/>
      <c r="U18" s="84"/>
      <c r="V18" s="84"/>
      <c r="W18" s="84"/>
    </row>
    <row r="19" spans="1:23" s="101" customFormat="1" ht="16.5" customHeight="1">
      <c r="A19" s="96">
        <f>A17+1</f>
        <v>7</v>
      </c>
      <c r="B19" s="97" t="s">
        <v>636</v>
      </c>
      <c r="C19" s="87" t="s">
        <v>23</v>
      </c>
      <c r="D19" s="98"/>
      <c r="E19" s="227" t="s">
        <v>325</v>
      </c>
      <c r="F19" s="67"/>
      <c r="G19" s="231" t="s">
        <v>274</v>
      </c>
      <c r="H19" s="712"/>
      <c r="I19" s="99"/>
      <c r="J19" s="93"/>
      <c r="S19" s="84"/>
      <c r="T19" s="84"/>
      <c r="U19" s="84"/>
      <c r="V19" s="84"/>
      <c r="W19" s="84"/>
    </row>
    <row r="20" spans="1:23" s="101" customFormat="1" ht="16.5" customHeight="1">
      <c r="A20" s="96"/>
      <c r="B20" s="97"/>
      <c r="C20" s="87"/>
      <c r="D20"/>
      <c r="E20"/>
      <c r="F20"/>
      <c r="G20"/>
      <c r="H20"/>
      <c r="I20" s="99"/>
      <c r="J20" s="93"/>
      <c r="S20" s="84"/>
      <c r="T20" s="84"/>
      <c r="U20" s="84"/>
      <c r="V20" s="84"/>
      <c r="W20" s="84"/>
    </row>
    <row r="21" spans="1:23" s="101" customFormat="1" ht="18" customHeight="1">
      <c r="A21" s="96">
        <f>A19+1</f>
        <v>8</v>
      </c>
      <c r="B21" s="97" t="s">
        <v>636</v>
      </c>
      <c r="C21" s="87" t="s">
        <v>552</v>
      </c>
      <c r="D21" s="98"/>
      <c r="E21" s="228"/>
      <c r="F21" s="67"/>
      <c r="G21" s="230" t="s">
        <v>1060</v>
      </c>
      <c r="H21" s="80"/>
      <c r="I21" s="229">
        <f>DATE(2015,1,29)</f>
        <v>42033</v>
      </c>
      <c r="J21" s="93"/>
      <c r="S21" s="84"/>
      <c r="T21" s="84"/>
      <c r="U21" s="84"/>
      <c r="V21" s="84"/>
      <c r="W21" s="84"/>
    </row>
    <row r="22" spans="1:23" s="101" customFormat="1" ht="15.75" thickBot="1">
      <c r="A22" s="96"/>
      <c r="B22" s="104"/>
      <c r="C22" s="105"/>
      <c r="D22" s="98"/>
      <c r="E22" s="80"/>
      <c r="F22" s="99"/>
      <c r="G22" s="99"/>
      <c r="H22" s="100"/>
      <c r="I22" s="99"/>
      <c r="J22" s="106"/>
      <c r="S22" s="84"/>
      <c r="T22" s="84"/>
      <c r="U22" s="84"/>
      <c r="V22" s="84"/>
      <c r="W22" s="84"/>
    </row>
    <row r="23" spans="1:23" s="78" customFormat="1" ht="17.25" thickTop="1" thickBot="1">
      <c r="A23" s="107" t="s">
        <v>644</v>
      </c>
      <c r="B23" s="108"/>
      <c r="C23" s="109"/>
      <c r="D23" s="110"/>
      <c r="E23" s="111"/>
      <c r="F23" s="111"/>
      <c r="G23" s="111"/>
      <c r="H23" s="111"/>
      <c r="I23" s="111"/>
      <c r="J23" s="112"/>
      <c r="S23" s="84"/>
      <c r="T23" s="84"/>
      <c r="U23" s="84"/>
      <c r="V23" s="84"/>
      <c r="W23" s="84"/>
    </row>
    <row r="24" spans="1:23" s="85" customFormat="1" ht="15" thickTop="1">
      <c r="A24" s="96"/>
      <c r="B24" s="104"/>
      <c r="C24" s="80"/>
      <c r="D24" s="80"/>
      <c r="E24" s="80"/>
      <c r="F24" s="80"/>
      <c r="G24" s="80"/>
      <c r="H24" s="80"/>
      <c r="I24" s="80"/>
      <c r="J24" s="83"/>
      <c r="S24" s="84"/>
      <c r="T24" s="84"/>
      <c r="U24" s="84"/>
      <c r="V24" s="84"/>
      <c r="W24" s="84"/>
    </row>
    <row r="25" spans="1:23" s="84" customFormat="1" ht="15">
      <c r="A25" s="113">
        <f>A21+1</f>
        <v>9</v>
      </c>
      <c r="B25" s="52" t="s">
        <v>636</v>
      </c>
      <c r="C25" s="87" t="s">
        <v>645</v>
      </c>
      <c r="D25" s="87"/>
      <c r="E25" s="87"/>
      <c r="F25" s="87"/>
      <c r="G25" s="87"/>
      <c r="H25" s="87"/>
      <c r="I25" s="87"/>
      <c r="J25" s="89"/>
    </row>
    <row r="26" spans="1:23" s="101" customFormat="1" ht="14.25">
      <c r="A26" s="96"/>
      <c r="B26" s="114">
        <f>IF(C26="Yes",1,0)</f>
        <v>0</v>
      </c>
      <c r="C26" s="2" t="s">
        <v>325</v>
      </c>
      <c r="D26" s="104" t="s">
        <v>647</v>
      </c>
      <c r="E26" s="104"/>
      <c r="F26" s="104"/>
      <c r="G26" s="104"/>
      <c r="H26" s="104"/>
      <c r="I26" s="115"/>
      <c r="J26" s="106"/>
      <c r="S26" s="84"/>
      <c r="T26" s="84"/>
      <c r="U26" s="84"/>
      <c r="V26" s="84"/>
      <c r="W26" s="84"/>
    </row>
    <row r="27" spans="1:23" s="101" customFormat="1" ht="14.25">
      <c r="A27" s="116"/>
      <c r="B27" s="114">
        <f>IF(C27="Yes",1,0)</f>
        <v>0</v>
      </c>
      <c r="C27" s="3" t="s">
        <v>325</v>
      </c>
      <c r="D27" s="104" t="s">
        <v>42</v>
      </c>
      <c r="E27" s="104"/>
      <c r="F27" s="104"/>
      <c r="G27" s="104"/>
      <c r="H27" s="104"/>
      <c r="I27" s="115"/>
      <c r="J27" s="106"/>
      <c r="L27" s="117">
        <f>B27</f>
        <v>0</v>
      </c>
      <c r="S27" s="84"/>
      <c r="T27" s="84"/>
      <c r="U27" s="84"/>
      <c r="V27" s="84"/>
      <c r="W27" s="84"/>
    </row>
    <row r="28" spans="1:23" s="101" customFormat="1" ht="14.25">
      <c r="A28" s="116"/>
      <c r="B28" s="114">
        <f>IF(C28="Yes",1,0)</f>
        <v>0</v>
      </c>
      <c r="C28" s="3" t="s">
        <v>325</v>
      </c>
      <c r="D28" s="104" t="s">
        <v>43</v>
      </c>
      <c r="E28" s="104"/>
      <c r="F28" s="104"/>
      <c r="G28" s="104"/>
      <c r="H28" s="104"/>
      <c r="I28" s="115"/>
      <c r="J28" s="106"/>
      <c r="S28" s="84"/>
      <c r="T28" s="84"/>
      <c r="U28" s="84"/>
      <c r="V28" s="84"/>
      <c r="W28" s="84"/>
    </row>
    <row r="29" spans="1:23" s="101" customFormat="1" ht="14.25">
      <c r="A29" s="116"/>
      <c r="B29" s="114">
        <f>IF(C29="Yes",1,0)</f>
        <v>0</v>
      </c>
      <c r="C29" s="3" t="s">
        <v>325</v>
      </c>
      <c r="D29" s="104" t="s">
        <v>44</v>
      </c>
      <c r="E29" s="104"/>
      <c r="F29" s="104"/>
      <c r="G29" s="104"/>
      <c r="H29" s="104"/>
      <c r="I29" s="115"/>
      <c r="J29" s="106"/>
      <c r="S29" s="84"/>
      <c r="T29" s="84"/>
      <c r="U29" s="84"/>
      <c r="V29" s="84"/>
      <c r="W29" s="84"/>
    </row>
    <row r="30" spans="1:23" s="101" customFormat="1" ht="14.25">
      <c r="A30" s="116"/>
      <c r="B30" s="114">
        <f>IF(C30="Yes",1,0)</f>
        <v>0</v>
      </c>
      <c r="C30" s="3" t="s">
        <v>325</v>
      </c>
      <c r="D30" s="104" t="s">
        <v>45</v>
      </c>
      <c r="E30" s="104"/>
      <c r="F30" s="104"/>
      <c r="G30" s="104"/>
      <c r="H30" s="104"/>
      <c r="I30" s="115"/>
      <c r="J30" s="106"/>
      <c r="S30" s="84"/>
      <c r="T30" s="84"/>
      <c r="U30" s="84"/>
      <c r="V30" s="84"/>
      <c r="W30" s="84"/>
    </row>
    <row r="31" spans="1:23" s="101" customFormat="1" ht="14.25">
      <c r="A31" s="116"/>
      <c r="B31" s="118"/>
      <c r="D31" s="104"/>
      <c r="E31" s="104"/>
      <c r="F31" s="104"/>
      <c r="G31" s="104"/>
      <c r="H31" s="115"/>
      <c r="I31" s="115"/>
      <c r="J31" s="106"/>
      <c r="S31" s="84"/>
      <c r="T31" s="84"/>
      <c r="U31" s="84"/>
      <c r="V31" s="84"/>
      <c r="W31" s="84"/>
    </row>
    <row r="32" spans="1:23" s="85" customFormat="1" ht="11.25">
      <c r="A32" s="79"/>
      <c r="B32" s="80"/>
      <c r="C32" s="80"/>
      <c r="D32" s="80"/>
      <c r="E32" s="80"/>
      <c r="F32" s="80"/>
      <c r="G32" s="80"/>
      <c r="H32" s="119"/>
      <c r="I32" s="119"/>
      <c r="J32" s="83"/>
    </row>
    <row r="33" spans="1:17" s="84" customFormat="1" ht="15">
      <c r="A33" s="116">
        <f>A25+1</f>
        <v>10</v>
      </c>
      <c r="B33" s="52" t="s">
        <v>636</v>
      </c>
      <c r="C33" s="87" t="s">
        <v>648</v>
      </c>
      <c r="D33" s="87"/>
      <c r="E33" s="34" t="s">
        <v>702</v>
      </c>
      <c r="F33" s="120"/>
      <c r="G33" s="120"/>
      <c r="H33" s="121"/>
      <c r="I33" s="95"/>
      <c r="J33" s="89"/>
    </row>
    <row r="34" spans="1:17" s="85" customFormat="1" ht="11.25">
      <c r="A34" s="79"/>
      <c r="B34" s="80"/>
      <c r="C34" s="80"/>
      <c r="D34" s="80"/>
      <c r="E34" s="80"/>
      <c r="F34" s="80"/>
      <c r="G34" s="80"/>
      <c r="H34" s="119"/>
      <c r="I34" s="119"/>
      <c r="J34" s="83"/>
    </row>
    <row r="35" spans="1:17" s="85" customFormat="1" ht="11.25">
      <c r="A35" s="79"/>
      <c r="B35" s="80"/>
      <c r="C35" s="80"/>
      <c r="D35" s="80"/>
      <c r="E35" s="80"/>
      <c r="F35" s="80"/>
      <c r="G35" s="80"/>
      <c r="H35" s="119"/>
      <c r="I35" s="119"/>
      <c r="J35" s="83"/>
    </row>
    <row r="36" spans="1:17" s="84" customFormat="1" ht="15">
      <c r="A36" s="116">
        <f>A33+1</f>
        <v>11</v>
      </c>
      <c r="B36" s="52" t="s">
        <v>636</v>
      </c>
      <c r="C36" s="124" t="s">
        <v>649</v>
      </c>
      <c r="D36" s="87"/>
      <c r="E36" s="749" t="s">
        <v>1271</v>
      </c>
      <c r="F36" s="80"/>
      <c r="G36" s="80"/>
      <c r="H36" s="764"/>
      <c r="I36" s="87"/>
      <c r="J36" s="89"/>
    </row>
    <row r="37" spans="1:17" s="101" customFormat="1">
      <c r="A37" s="116"/>
      <c r="B37" s="104"/>
      <c r="C37" s="104"/>
      <c r="D37" s="115"/>
      <c r="E37" s="80"/>
      <c r="F37" s="80"/>
      <c r="G37" s="80"/>
      <c r="H37" s="80"/>
      <c r="I37" s="52"/>
      <c r="J37" s="106"/>
    </row>
    <row r="38" spans="1:17" s="101" customFormat="1">
      <c r="A38" s="116"/>
      <c r="B38" s="115"/>
      <c r="C38" s="115"/>
      <c r="D38" s="115"/>
      <c r="E38" s="52"/>
      <c r="F38" s="52"/>
      <c r="G38" s="52"/>
      <c r="H38" s="52"/>
      <c r="I38" s="52"/>
      <c r="J38" s="106"/>
    </row>
    <row r="39" spans="1:17" s="101" customFormat="1">
      <c r="A39" s="126"/>
      <c r="B39" s="52"/>
      <c r="C39" s="115"/>
      <c r="D39" s="1190"/>
      <c r="E39" s="1230"/>
      <c r="F39" s="1230"/>
      <c r="G39" s="1230"/>
      <c r="H39" s="1230"/>
      <c r="I39" s="1231"/>
      <c r="J39" s="106"/>
    </row>
    <row r="40" spans="1:17" s="101" customFormat="1">
      <c r="A40" s="116"/>
      <c r="B40" s="52"/>
      <c r="C40" s="104"/>
      <c r="D40" s="1232"/>
      <c r="E40" s="1233"/>
      <c r="F40" s="1233"/>
      <c r="G40" s="1233"/>
      <c r="H40" s="1233"/>
      <c r="I40" s="1234"/>
      <c r="J40" s="127"/>
    </row>
    <row r="41" spans="1:17" s="101" customFormat="1">
      <c r="A41" s="116"/>
      <c r="B41" s="52"/>
      <c r="C41" s="104"/>
      <c r="D41" s="1232"/>
      <c r="E41" s="1233"/>
      <c r="F41" s="1233"/>
      <c r="G41" s="1233"/>
      <c r="H41" s="1233"/>
      <c r="I41" s="1234"/>
      <c r="J41" s="127"/>
    </row>
    <row r="42" spans="1:17" s="101" customFormat="1">
      <c r="A42" s="116"/>
      <c r="B42" s="52"/>
      <c r="C42" s="104"/>
      <c r="D42" s="1232"/>
      <c r="E42" s="1233"/>
      <c r="F42" s="1233"/>
      <c r="G42" s="1233"/>
      <c r="H42" s="1233"/>
      <c r="I42" s="1234"/>
      <c r="J42" s="127"/>
    </row>
    <row r="43" spans="1:17" s="101" customFormat="1">
      <c r="A43" s="116"/>
      <c r="B43" s="52"/>
      <c r="C43" s="104"/>
      <c r="D43" s="1232"/>
      <c r="E43" s="1233"/>
      <c r="F43" s="1233"/>
      <c r="G43" s="1233"/>
      <c r="H43" s="1233"/>
      <c r="I43" s="1234"/>
      <c r="J43" s="127"/>
    </row>
    <row r="44" spans="1:17" s="101" customFormat="1">
      <c r="A44" s="116"/>
      <c r="B44" s="52"/>
      <c r="C44" s="104"/>
      <c r="D44" s="1232"/>
      <c r="E44" s="1233"/>
      <c r="F44" s="1233"/>
      <c r="G44" s="1233"/>
      <c r="H44" s="1233"/>
      <c r="I44" s="1234"/>
      <c r="J44" s="127"/>
    </row>
    <row r="45" spans="1:17" s="101" customFormat="1">
      <c r="A45" s="116"/>
      <c r="B45" s="52"/>
      <c r="C45" s="104"/>
      <c r="D45" s="1235"/>
      <c r="E45" s="1236"/>
      <c r="F45" s="1236"/>
      <c r="G45" s="1236"/>
      <c r="H45" s="1236"/>
      <c r="I45" s="1237"/>
      <c r="J45" s="127"/>
    </row>
    <row r="46" spans="1:17" s="85" customFormat="1" ht="11.25">
      <c r="A46" s="79"/>
      <c r="B46" s="80"/>
      <c r="C46" s="80"/>
      <c r="D46" s="80"/>
      <c r="E46" s="80"/>
      <c r="F46" s="80"/>
      <c r="G46" s="80"/>
      <c r="H46" s="80"/>
      <c r="I46" s="80"/>
      <c r="J46" s="83"/>
    </row>
    <row r="47" spans="1:17" s="84" customFormat="1" ht="15.75" thickBot="1">
      <c r="A47" s="116">
        <f>A36+1</f>
        <v>12</v>
      </c>
      <c r="B47" s="52" t="s">
        <v>636</v>
      </c>
      <c r="C47" s="124" t="s">
        <v>650</v>
      </c>
      <c r="D47" s="87"/>
      <c r="E47" s="87"/>
      <c r="F47" s="128" t="s">
        <v>1392</v>
      </c>
      <c r="G47" s="128" t="s">
        <v>1393</v>
      </c>
      <c r="H47" s="1244" t="s">
        <v>559</v>
      </c>
      <c r="I47" s="1245"/>
      <c r="J47" s="89"/>
      <c r="K47" s="129"/>
    </row>
    <row r="48" spans="1:17" s="65" customFormat="1" ht="12.75" customHeight="1" thickTop="1">
      <c r="A48" s="116"/>
      <c r="B48" s="52"/>
      <c r="C48" s="130" t="s">
        <v>1172</v>
      </c>
      <c r="D48" s="130"/>
      <c r="E48" s="130"/>
      <c r="F48" s="917">
        <f>E9</f>
        <v>0</v>
      </c>
      <c r="G48"/>
      <c r="H48" s="1238"/>
      <c r="I48" s="1239"/>
      <c r="J48" s="93"/>
      <c r="Q48" s="797"/>
    </row>
    <row r="49" spans="1:11" s="101" customFormat="1" ht="12.75" customHeight="1">
      <c r="A49" s="116"/>
      <c r="B49" s="52"/>
      <c r="C49" s="130" t="s">
        <v>150</v>
      </c>
      <c r="D49" s="130"/>
      <c r="E49" s="130"/>
      <c r="F49" s="233"/>
      <c r="G49" s="233"/>
      <c r="H49" s="1240"/>
      <c r="I49" s="1241"/>
      <c r="J49" s="127"/>
    </row>
    <row r="50" spans="1:11" s="101" customFormat="1" ht="12.75" customHeight="1">
      <c r="A50" s="116"/>
      <c r="B50" s="52"/>
      <c r="C50" s="130" t="s">
        <v>472</v>
      </c>
      <c r="D50" s="130"/>
      <c r="E50" s="130"/>
      <c r="F50" s="233"/>
      <c r="G50" s="233"/>
      <c r="H50" s="1240"/>
      <c r="I50" s="1241"/>
      <c r="J50" s="127"/>
    </row>
    <row r="51" spans="1:11" s="101" customFormat="1" ht="12.75" customHeight="1">
      <c r="A51" s="116"/>
      <c r="B51" s="52"/>
      <c r="C51" s="130" t="s">
        <v>151</v>
      </c>
      <c r="D51" s="130"/>
      <c r="E51" s="130"/>
      <c r="F51" s="233"/>
      <c r="G51" s="233"/>
      <c r="H51" s="1240"/>
      <c r="I51" s="1241"/>
      <c r="J51" s="127"/>
    </row>
    <row r="52" spans="1:11" s="101" customFormat="1" ht="12.75" customHeight="1">
      <c r="A52" s="116"/>
      <c r="B52" s="52"/>
      <c r="C52" s="130" t="s">
        <v>152</v>
      </c>
      <c r="D52" s="130"/>
      <c r="E52" s="130"/>
      <c r="F52" s="233"/>
      <c r="G52" s="233"/>
      <c r="H52" s="1240"/>
      <c r="I52" s="1241"/>
      <c r="J52" s="127"/>
    </row>
    <row r="53" spans="1:11" s="101" customFormat="1" ht="12.75" customHeight="1">
      <c r="A53" s="116"/>
      <c r="B53" s="52"/>
      <c r="C53" s="130" t="s">
        <v>153</v>
      </c>
      <c r="D53" s="130"/>
      <c r="E53" s="130"/>
      <c r="F53" s="233"/>
      <c r="G53" s="233"/>
      <c r="H53" s="1240"/>
      <c r="I53" s="1241"/>
      <c r="J53" s="127"/>
    </row>
    <row r="54" spans="1:11" s="101" customFormat="1" ht="12.75" customHeight="1">
      <c r="A54" s="116"/>
      <c r="B54" s="52"/>
      <c r="C54" s="130" t="s">
        <v>154</v>
      </c>
      <c r="D54" s="130"/>
      <c r="E54" s="130"/>
      <c r="F54" s="233"/>
      <c r="G54" s="233"/>
      <c r="H54" s="1240"/>
      <c r="I54" s="1241"/>
      <c r="J54" s="127"/>
    </row>
    <row r="55" spans="1:11" s="101" customFormat="1" ht="12.75" customHeight="1">
      <c r="A55" s="116"/>
      <c r="B55" s="52"/>
      <c r="C55" s="130" t="s">
        <v>155</v>
      </c>
      <c r="D55" s="1045"/>
      <c r="E55" s="130"/>
      <c r="F55" s="233"/>
      <c r="G55" s="233"/>
      <c r="H55" s="1240"/>
      <c r="I55" s="1241"/>
      <c r="J55" s="127"/>
    </row>
    <row r="56" spans="1:11" s="101" customFormat="1" ht="12.75" customHeight="1">
      <c r="A56" s="116"/>
      <c r="B56" s="52"/>
      <c r="C56" s="130" t="s">
        <v>156</v>
      </c>
      <c r="D56" s="130"/>
      <c r="E56" s="130"/>
      <c r="F56" s="233"/>
      <c r="G56" s="233"/>
      <c r="H56" s="1240"/>
      <c r="I56" s="1241"/>
      <c r="J56" s="127"/>
      <c r="K56" s="798">
        <f>IF(G56="",F56,G56)</f>
        <v>0</v>
      </c>
    </row>
    <row r="57" spans="1:11" s="101" customFormat="1" ht="12.75" customHeight="1" thickBot="1">
      <c r="A57" s="116"/>
      <c r="B57" s="52"/>
      <c r="C57" s="130" t="s">
        <v>157</v>
      </c>
      <c r="D57" s="130"/>
      <c r="E57" s="130"/>
      <c r="F57" s="233"/>
      <c r="G57" s="233"/>
      <c r="H57" s="1242"/>
      <c r="I57" s="1243"/>
      <c r="J57" s="127"/>
      <c r="K57" s="798">
        <f>IF(G57="",F57,G57)</f>
        <v>0</v>
      </c>
    </row>
    <row r="58" spans="1:11" s="85" customFormat="1" ht="14.25" thickTop="1" thickBot="1">
      <c r="A58" s="131"/>
      <c r="B58" s="132"/>
      <c r="C58" s="133"/>
      <c r="D58" s="134"/>
      <c r="E58" s="133"/>
      <c r="F58" s="133"/>
      <c r="G58" s="133"/>
      <c r="H58" s="133"/>
      <c r="I58" s="133"/>
      <c r="J58" s="135"/>
    </row>
    <row r="59" spans="1:11" s="65" customFormat="1" ht="12">
      <c r="A59" s="64"/>
      <c r="B59" s="136">
        <f>E7</f>
        <v>0</v>
      </c>
      <c r="C59" s="67"/>
      <c r="D59" s="64"/>
      <c r="E59" s="64"/>
      <c r="F59" s="137"/>
      <c r="G59" s="137" t="e">
        <f>"Application Date: "&amp;F48</f>
        <v>#VALUE!</v>
      </c>
      <c r="H59" s="1246" t="e">
        <f>"Revised Date: "&amp;I9</f>
        <v>#VALUE!</v>
      </c>
      <c r="I59" s="1246"/>
      <c r="J59" s="1246"/>
    </row>
    <row r="60" spans="1:11" s="65" customFormat="1" ht="12">
      <c r="A60" s="64" t="s">
        <v>409</v>
      </c>
      <c r="B60" s="64"/>
      <c r="C60" s="64"/>
      <c r="D60" s="64"/>
      <c r="E60" s="64"/>
      <c r="F60" s="64"/>
      <c r="G60" s="64"/>
      <c r="H60" s="64"/>
      <c r="I60" s="64"/>
      <c r="J60" s="64"/>
    </row>
    <row r="61" spans="1:11" s="65" customFormat="1" ht="12">
      <c r="A61" s="64" t="s">
        <v>410</v>
      </c>
      <c r="B61" s="64"/>
      <c r="C61" s="64"/>
      <c r="D61" s="64"/>
      <c r="E61" s="64"/>
      <c r="F61" s="64"/>
      <c r="G61" s="64"/>
      <c r="H61" s="64"/>
      <c r="I61" s="64"/>
      <c r="J61" s="64"/>
    </row>
    <row r="62" spans="1:11" ht="16.5" thickBot="1">
      <c r="A62" s="115" t="s">
        <v>651</v>
      </c>
      <c r="B62" s="138"/>
      <c r="C62" s="139"/>
      <c r="D62" s="138"/>
      <c r="E62" s="138"/>
      <c r="F62" s="138"/>
      <c r="G62" s="138"/>
      <c r="H62" s="138"/>
      <c r="I62" s="139" t="s">
        <v>652</v>
      </c>
      <c r="J62" s="138"/>
    </row>
    <row r="63" spans="1:11" ht="9.9499999999999993" customHeight="1">
      <c r="A63" s="140"/>
      <c r="B63" s="141"/>
      <c r="C63" s="142"/>
      <c r="D63" s="142"/>
      <c r="E63" s="142"/>
      <c r="F63" s="142"/>
      <c r="G63" s="142"/>
      <c r="H63" s="142"/>
      <c r="I63" s="142"/>
      <c r="J63" s="143"/>
    </row>
    <row r="64" spans="1:11" ht="15.75">
      <c r="A64" s="116">
        <f>A47+1</f>
        <v>13</v>
      </c>
      <c r="B64" s="52" t="s">
        <v>636</v>
      </c>
      <c r="C64" s="144" t="s">
        <v>653</v>
      </c>
      <c r="D64" s="145" t="s">
        <v>654</v>
      </c>
      <c r="E64" s="145" t="s">
        <v>654</v>
      </c>
      <c r="F64" s="146" t="s">
        <v>654</v>
      </c>
      <c r="G64" s="147" t="s">
        <v>655</v>
      </c>
      <c r="H64" s="148" t="s">
        <v>656</v>
      </c>
      <c r="I64" s="145" t="s">
        <v>657</v>
      </c>
      <c r="J64" s="106"/>
    </row>
    <row r="65" spans="1:16">
      <c r="A65" s="116"/>
      <c r="B65" s="52"/>
      <c r="C65" s="52"/>
      <c r="D65" s="145" t="s">
        <v>658</v>
      </c>
      <c r="E65" s="145" t="s">
        <v>659</v>
      </c>
      <c r="F65" s="145" t="s">
        <v>660</v>
      </c>
      <c r="G65" s="831" t="str">
        <f>IF(G74&gt;0,TEXT(G74,"0%"),"(User-defined)")</f>
        <v>(User-defined)</v>
      </c>
      <c r="H65" s="148" t="s">
        <v>661</v>
      </c>
      <c r="I65" s="145" t="s">
        <v>662</v>
      </c>
      <c r="J65" s="106"/>
    </row>
    <row r="66" spans="1:16">
      <c r="A66" s="116"/>
      <c r="B66" s="52"/>
      <c r="C66" s="1032" t="s">
        <v>1411</v>
      </c>
      <c r="D66" s="4"/>
      <c r="E66" s="4"/>
      <c r="F66" s="4"/>
      <c r="G66" s="4"/>
      <c r="H66" s="4"/>
      <c r="I66" s="150">
        <f t="shared" ref="I66:I71" si="0">SUM(D66:H66)</f>
        <v>0</v>
      </c>
      <c r="J66" s="106"/>
      <c r="K66" s="1046"/>
      <c r="L66" s="1047" t="str">
        <f t="shared" ref="L66:L71" si="1">IF(C66&lt;&gt;"SRO",VALUE(LEFT(C66,1)),"0")</f>
        <v>0</v>
      </c>
    </row>
    <row r="67" spans="1:16">
      <c r="A67" s="116"/>
      <c r="B67" s="52"/>
      <c r="C67" s="1033" t="s">
        <v>108</v>
      </c>
      <c r="D67" s="4"/>
      <c r="E67" s="4"/>
      <c r="F67" s="4"/>
      <c r="G67" s="4"/>
      <c r="H67" s="4"/>
      <c r="I67" s="150">
        <f t="shared" si="0"/>
        <v>0</v>
      </c>
      <c r="J67" s="106"/>
      <c r="K67" s="1046"/>
      <c r="L67" s="1047">
        <f t="shared" si="1"/>
        <v>0</v>
      </c>
    </row>
    <row r="68" spans="1:16">
      <c r="A68" s="116"/>
      <c r="B68" s="52"/>
      <c r="C68" s="1034" t="s">
        <v>109</v>
      </c>
      <c r="D68" s="4"/>
      <c r="E68" s="4"/>
      <c r="F68" s="4"/>
      <c r="G68" s="4"/>
      <c r="H68" s="4"/>
      <c r="I68" s="150">
        <f t="shared" si="0"/>
        <v>0</v>
      </c>
      <c r="J68" s="106"/>
      <c r="K68" s="1046"/>
      <c r="L68" s="1047">
        <f t="shared" si="1"/>
        <v>1</v>
      </c>
    </row>
    <row r="69" spans="1:16">
      <c r="A69" s="116"/>
      <c r="B69" s="52"/>
      <c r="C69" s="1033" t="s">
        <v>1321</v>
      </c>
      <c r="D69" s="4"/>
      <c r="E69" s="4"/>
      <c r="F69" s="4"/>
      <c r="G69" s="4"/>
      <c r="H69" s="4"/>
      <c r="I69" s="150">
        <f t="shared" si="0"/>
        <v>0</v>
      </c>
      <c r="J69" s="106"/>
      <c r="K69" s="1046"/>
      <c r="L69" s="1047">
        <f t="shared" si="1"/>
        <v>2</v>
      </c>
    </row>
    <row r="70" spans="1:16">
      <c r="A70" s="116"/>
      <c r="B70" s="52"/>
      <c r="C70" s="1033" t="s">
        <v>1322</v>
      </c>
      <c r="D70" s="4"/>
      <c r="E70" s="4"/>
      <c r="F70" s="4"/>
      <c r="G70" s="4"/>
      <c r="H70" s="4"/>
      <c r="I70" s="150">
        <f t="shared" si="0"/>
        <v>0</v>
      </c>
      <c r="J70" s="106"/>
      <c r="K70" s="1046"/>
      <c r="L70" s="1047">
        <f t="shared" si="1"/>
        <v>3</v>
      </c>
    </row>
    <row r="71" spans="1:16">
      <c r="A71" s="116"/>
      <c r="B71" s="52"/>
      <c r="C71" s="1033" t="s">
        <v>1323</v>
      </c>
      <c r="D71" s="4"/>
      <c r="E71" s="4"/>
      <c r="F71" s="4"/>
      <c r="G71" s="4"/>
      <c r="H71" s="4"/>
      <c r="I71" s="150">
        <f t="shared" si="0"/>
        <v>0</v>
      </c>
      <c r="J71" s="106"/>
      <c r="K71" s="1046"/>
      <c r="L71" s="1047">
        <f t="shared" si="1"/>
        <v>4</v>
      </c>
    </row>
    <row r="72" spans="1:16" ht="13.5" thickBot="1">
      <c r="A72" s="116"/>
      <c r="B72" s="52"/>
      <c r="C72" s="153" t="s">
        <v>664</v>
      </c>
      <c r="D72" s="154">
        <f t="shared" ref="D72:I72" si="2">SUM(D66:D71)</f>
        <v>0</v>
      </c>
      <c r="E72" s="150">
        <f t="shared" si="2"/>
        <v>0</v>
      </c>
      <c r="F72" s="150">
        <f t="shared" si="2"/>
        <v>0</v>
      </c>
      <c r="G72" s="150">
        <f t="shared" si="2"/>
        <v>0</v>
      </c>
      <c r="H72" s="150">
        <f t="shared" si="2"/>
        <v>0</v>
      </c>
      <c r="I72" s="150">
        <f t="shared" si="2"/>
        <v>0</v>
      </c>
      <c r="J72" s="106"/>
      <c r="K72" s="1046"/>
    </row>
    <row r="73" spans="1:16" ht="17.25" thickTop="1" thickBot="1">
      <c r="A73" s="116"/>
      <c r="B73" s="52"/>
      <c r="C73" s="138" t="s">
        <v>665</v>
      </c>
      <c r="D73" s="4"/>
      <c r="E73" s="4" t="s">
        <v>646</v>
      </c>
      <c r="F73" s="4"/>
      <c r="G73" s="4"/>
      <c r="H73" s="4"/>
      <c r="I73" s="155">
        <f>SUM(D73:H73)</f>
        <v>0</v>
      </c>
      <c r="J73" s="156"/>
    </row>
    <row r="74" spans="1:16" ht="13.5" thickTop="1">
      <c r="A74" s="116"/>
      <c r="B74" s="52" t="s">
        <v>1286</v>
      </c>
      <c r="D74" s="157"/>
      <c r="E74" s="158"/>
      <c r="F74" s="159" t="s">
        <v>1287</v>
      </c>
      <c r="G74" s="793"/>
      <c r="H74" s="160" t="s">
        <v>666</v>
      </c>
      <c r="J74" s="106"/>
    </row>
    <row r="75" spans="1:16" ht="9.9499999999999993" customHeight="1">
      <c r="A75" s="161"/>
      <c r="B75" s="52"/>
      <c r="C75" s="138"/>
      <c r="D75" s="138"/>
      <c r="E75" s="138"/>
      <c r="F75" s="52"/>
      <c r="G75" s="162"/>
      <c r="H75" s="795"/>
      <c r="I75" s="138"/>
      <c r="J75" s="156"/>
    </row>
    <row r="76" spans="1:16" s="84" customFormat="1" ht="15">
      <c r="A76" s="86">
        <f>A64+1</f>
        <v>14</v>
      </c>
      <c r="B76" s="87" t="s">
        <v>636</v>
      </c>
      <c r="C76" s="87" t="s">
        <v>525</v>
      </c>
      <c r="D76" s="87"/>
      <c r="E76" s="87"/>
      <c r="F76" s="87"/>
      <c r="G76" s="87"/>
      <c r="H76" s="87"/>
      <c r="I76" s="87"/>
      <c r="J76" s="89"/>
    </row>
    <row r="77" spans="1:16">
      <c r="A77" s="161"/>
      <c r="B77" s="52"/>
      <c r="C77" s="52"/>
      <c r="D77" s="145" t="s">
        <v>654</v>
      </c>
      <c r="E77" s="145" t="s">
        <v>654</v>
      </c>
      <c r="F77" s="146" t="s">
        <v>654</v>
      </c>
      <c r="G77" s="147" t="s">
        <v>655</v>
      </c>
      <c r="H77" s="148" t="s">
        <v>656</v>
      </c>
      <c r="I77" s="145" t="s">
        <v>667</v>
      </c>
      <c r="J77" s="106"/>
    </row>
    <row r="78" spans="1:16">
      <c r="A78" s="161"/>
      <c r="B78" s="52"/>
      <c r="C78" s="52"/>
      <c r="D78" s="145" t="s">
        <v>658</v>
      </c>
      <c r="E78" s="145" t="s">
        <v>659</v>
      </c>
      <c r="F78" s="145" t="s">
        <v>660</v>
      </c>
      <c r="G78" s="831" t="str">
        <f>G65</f>
        <v>(User-defined)</v>
      </c>
      <c r="H78" s="148" t="s">
        <v>661</v>
      </c>
      <c r="I78" s="145" t="s">
        <v>668</v>
      </c>
      <c r="J78" s="106"/>
    </row>
    <row r="79" spans="1:16" ht="15">
      <c r="A79" s="161"/>
      <c r="B79" s="52"/>
      <c r="C79" s="149" t="str">
        <f>$C$66</f>
        <v>SRO</v>
      </c>
      <c r="D79" s="765"/>
      <c r="E79" s="765"/>
      <c r="F79" s="765"/>
      <c r="G79" s="765"/>
      <c r="H79" s="765"/>
      <c r="I79" s="715" t="str">
        <f t="shared" ref="I79:I84" si="3">IF(I66&gt;0,((D79*D66)+(E79*E66)+(F79*F66)+(G79*G66)+(H79*H66))/I66,"N/A")</f>
        <v>N/A</v>
      </c>
      <c r="J79" s="106"/>
      <c r="K79" s="315" t="str">
        <f t="shared" ref="K79:K84" si="4">IF(OR(L79="problem",M79="problem",N79="problem",O79="problem",P79="problem"),"Enter Square Feet","")</f>
        <v/>
      </c>
      <c r="L79" s="103" t="str">
        <f t="shared" ref="L79:P84" si="5">IF(D66&lt;=0,"ok",IF(AND(D66&gt;=0,D79&lt;=0),"problem","ok"))</f>
        <v>ok</v>
      </c>
      <c r="M79" s="103" t="str">
        <f t="shared" si="5"/>
        <v>ok</v>
      </c>
      <c r="N79" s="103" t="str">
        <f t="shared" si="5"/>
        <v>ok</v>
      </c>
      <c r="O79" s="103" t="str">
        <f t="shared" si="5"/>
        <v>ok</v>
      </c>
      <c r="P79" s="103" t="str">
        <f t="shared" si="5"/>
        <v>ok</v>
      </c>
    </row>
    <row r="80" spans="1:16" ht="15">
      <c r="A80" s="161"/>
      <c r="B80" s="52"/>
      <c r="C80" s="151" t="str">
        <f>$C$67</f>
        <v>0 bedroom</v>
      </c>
      <c r="D80" s="765"/>
      <c r="E80" s="765"/>
      <c r="F80" s="765"/>
      <c r="G80" s="765"/>
      <c r="H80" s="765"/>
      <c r="I80" s="715" t="str">
        <f t="shared" si="3"/>
        <v>N/A</v>
      </c>
      <c r="J80" s="106"/>
      <c r="K80" s="315" t="str">
        <f t="shared" si="4"/>
        <v/>
      </c>
      <c r="L80" s="103" t="str">
        <f t="shared" si="5"/>
        <v>ok</v>
      </c>
      <c r="M80" s="103" t="str">
        <f t="shared" si="5"/>
        <v>ok</v>
      </c>
      <c r="N80" s="103" t="str">
        <f t="shared" si="5"/>
        <v>ok</v>
      </c>
      <c r="O80" s="103" t="str">
        <f t="shared" si="5"/>
        <v>ok</v>
      </c>
      <c r="P80" s="103" t="str">
        <f t="shared" si="5"/>
        <v>ok</v>
      </c>
    </row>
    <row r="81" spans="1:16" ht="15">
      <c r="A81" s="161"/>
      <c r="B81" s="52"/>
      <c r="C81" s="152" t="str">
        <f>$C$68</f>
        <v>1 bedroom</v>
      </c>
      <c r="D81" s="765"/>
      <c r="E81" s="765"/>
      <c r="F81" s="765"/>
      <c r="G81" s="765"/>
      <c r="H81" s="765"/>
      <c r="I81" s="715" t="str">
        <f t="shared" si="3"/>
        <v>N/A</v>
      </c>
      <c r="J81" s="106"/>
      <c r="K81" s="315" t="str">
        <f t="shared" si="4"/>
        <v/>
      </c>
      <c r="L81" s="103" t="str">
        <f t="shared" si="5"/>
        <v>ok</v>
      </c>
      <c r="M81" s="103" t="str">
        <f t="shared" si="5"/>
        <v>ok</v>
      </c>
      <c r="N81" s="103" t="str">
        <f t="shared" si="5"/>
        <v>ok</v>
      </c>
      <c r="O81" s="103" t="str">
        <f t="shared" si="5"/>
        <v>ok</v>
      </c>
      <c r="P81" s="103" t="str">
        <f t="shared" si="5"/>
        <v>ok</v>
      </c>
    </row>
    <row r="82" spans="1:16" ht="15">
      <c r="A82" s="161"/>
      <c r="B82" s="52"/>
      <c r="C82" s="151" t="str">
        <f>$C$69</f>
        <v>2 bedrooms</v>
      </c>
      <c r="D82" s="765"/>
      <c r="E82" s="765"/>
      <c r="F82" s="765"/>
      <c r="G82" s="765"/>
      <c r="H82" s="765"/>
      <c r="I82" s="715" t="str">
        <f t="shared" si="3"/>
        <v>N/A</v>
      </c>
      <c r="J82" s="106"/>
      <c r="K82" s="315" t="str">
        <f t="shared" si="4"/>
        <v/>
      </c>
      <c r="L82" s="103" t="str">
        <f t="shared" si="5"/>
        <v>ok</v>
      </c>
      <c r="M82" s="103" t="str">
        <f t="shared" si="5"/>
        <v>ok</v>
      </c>
      <c r="N82" s="103" t="str">
        <f t="shared" si="5"/>
        <v>ok</v>
      </c>
      <c r="O82" s="103" t="str">
        <f t="shared" si="5"/>
        <v>ok</v>
      </c>
      <c r="P82" s="103" t="str">
        <f t="shared" si="5"/>
        <v>ok</v>
      </c>
    </row>
    <row r="83" spans="1:16" ht="15">
      <c r="A83" s="161"/>
      <c r="B83" s="52"/>
      <c r="C83" s="151" t="str">
        <f>$C$70</f>
        <v>3 bedrooms</v>
      </c>
      <c r="D83" s="765"/>
      <c r="E83" s="765"/>
      <c r="F83" s="765"/>
      <c r="G83" s="765"/>
      <c r="H83" s="765"/>
      <c r="I83" s="715" t="str">
        <f t="shared" si="3"/>
        <v>N/A</v>
      </c>
      <c r="J83" s="106"/>
      <c r="K83" s="315" t="str">
        <f t="shared" si="4"/>
        <v/>
      </c>
      <c r="L83" s="103" t="str">
        <f t="shared" si="5"/>
        <v>ok</v>
      </c>
      <c r="M83" s="103" t="str">
        <f t="shared" si="5"/>
        <v>ok</v>
      </c>
      <c r="N83" s="103" t="str">
        <f t="shared" si="5"/>
        <v>ok</v>
      </c>
      <c r="O83" s="103" t="str">
        <f t="shared" si="5"/>
        <v>ok</v>
      </c>
      <c r="P83" s="103" t="str">
        <f t="shared" si="5"/>
        <v>ok</v>
      </c>
    </row>
    <row r="84" spans="1:16" ht="14.25" customHeight="1">
      <c r="A84" s="161"/>
      <c r="B84" s="52"/>
      <c r="C84" s="151" t="str">
        <f>$C$71</f>
        <v>4 bedrooms</v>
      </c>
      <c r="D84" s="765"/>
      <c r="E84" s="765"/>
      <c r="F84" s="765"/>
      <c r="G84" s="765"/>
      <c r="H84" s="765"/>
      <c r="I84" s="715" t="str">
        <f t="shared" si="3"/>
        <v>N/A</v>
      </c>
      <c r="J84" s="106"/>
      <c r="K84" s="315" t="str">
        <f t="shared" si="4"/>
        <v/>
      </c>
      <c r="L84" s="103" t="str">
        <f t="shared" si="5"/>
        <v>ok</v>
      </c>
      <c r="M84" s="103" t="str">
        <f t="shared" si="5"/>
        <v>ok</v>
      </c>
      <c r="N84" s="103" t="str">
        <f t="shared" si="5"/>
        <v>ok</v>
      </c>
      <c r="O84" s="103" t="str">
        <f t="shared" si="5"/>
        <v>ok</v>
      </c>
      <c r="P84" s="103" t="str">
        <f t="shared" si="5"/>
        <v>ok</v>
      </c>
    </row>
    <row r="85" spans="1:16" ht="9" customHeight="1">
      <c r="A85" s="161"/>
      <c r="B85" s="52"/>
      <c r="C85" s="138"/>
      <c r="D85" s="138"/>
      <c r="E85" s="138"/>
      <c r="F85" s="138"/>
      <c r="H85" s="138"/>
      <c r="I85" s="138"/>
      <c r="J85" s="156"/>
      <c r="K85" s="835">
        <f>G79*G66+G80*G67+G81*G68+G82*G69+G83*G70+G84*G71</f>
        <v>0</v>
      </c>
    </row>
    <row r="86" spans="1:16" ht="15.75">
      <c r="A86" s="116">
        <f>A76+1</f>
        <v>15</v>
      </c>
      <c r="B86" s="52" t="s">
        <v>636</v>
      </c>
      <c r="C86" s="138" t="s">
        <v>526</v>
      </c>
      <c r="D86" s="138"/>
      <c r="E86" s="138"/>
      <c r="F86" s="138"/>
      <c r="G86" s="138"/>
      <c r="H86" s="138"/>
      <c r="I86" s="138"/>
      <c r="J86" s="156"/>
    </row>
    <row r="87" spans="1:16" ht="15.75">
      <c r="A87" s="161"/>
      <c r="B87" s="52"/>
      <c r="C87" s="138"/>
      <c r="D87" s="145" t="s">
        <v>654</v>
      </c>
      <c r="E87" s="145" t="s">
        <v>654</v>
      </c>
      <c r="F87" s="146" t="s">
        <v>654</v>
      </c>
      <c r="G87" s="147" t="s">
        <v>655</v>
      </c>
      <c r="H87" s="148" t="s">
        <v>656</v>
      </c>
      <c r="I87" s="145" t="s">
        <v>667</v>
      </c>
      <c r="J87" s="156"/>
    </row>
    <row r="88" spans="1:16">
      <c r="A88" s="161"/>
      <c r="B88" s="52"/>
      <c r="C88" s="52"/>
      <c r="D88" s="145" t="s">
        <v>658</v>
      </c>
      <c r="E88" s="145" t="s">
        <v>659</v>
      </c>
      <c r="F88" s="145" t="s">
        <v>660</v>
      </c>
      <c r="G88" s="831" t="str">
        <f>G65</f>
        <v>(User-defined)</v>
      </c>
      <c r="H88" s="148" t="s">
        <v>661</v>
      </c>
      <c r="I88" s="145" t="s">
        <v>668</v>
      </c>
      <c r="J88" s="106"/>
    </row>
    <row r="89" spans="1:16" ht="15" customHeight="1">
      <c r="A89" s="161"/>
      <c r="B89" s="52"/>
      <c r="C89" s="149" t="str">
        <f>$C$66</f>
        <v>SRO</v>
      </c>
      <c r="D89" s="765"/>
      <c r="E89" s="765"/>
      <c r="F89" s="765"/>
      <c r="G89" s="765"/>
      <c r="H89" s="765"/>
      <c r="I89" s="766" t="str">
        <f>IF(I66&gt;0,((D89*D66)+(E89*E66)+(F89*F66)+(G89*G66)+(H89*H66))/I66,"             N/A")</f>
        <v xml:space="preserve">             N/A</v>
      </c>
      <c r="J89" s="106"/>
      <c r="K89" s="315" t="str">
        <f t="shared" ref="K89:K94" si="6">IF(OR(L89="problem",M89="problem",N89="problem",O89="problem",P89="problem"),"Enter # Of Bathrooms","")</f>
        <v/>
      </c>
      <c r="L89" s="103" t="str">
        <f t="shared" ref="L89:P94" si="7">IF(D66&lt;=0,"ok",IF(AND(D66&gt;=0,D89&lt;=0),"problem","ok"))</f>
        <v>ok</v>
      </c>
      <c r="M89" s="103" t="str">
        <f t="shared" si="7"/>
        <v>ok</v>
      </c>
      <c r="N89" s="103" t="str">
        <f t="shared" si="7"/>
        <v>ok</v>
      </c>
      <c r="O89" s="103" t="str">
        <f t="shared" si="7"/>
        <v>ok</v>
      </c>
      <c r="P89" s="103" t="str">
        <f t="shared" si="7"/>
        <v>ok</v>
      </c>
    </row>
    <row r="90" spans="1:16" ht="15">
      <c r="A90" s="161"/>
      <c r="B90" s="52"/>
      <c r="C90" s="151" t="str">
        <f>$C$67</f>
        <v>0 bedroom</v>
      </c>
      <c r="D90" s="765"/>
      <c r="E90" s="765"/>
      <c r="F90" s="765"/>
      <c r="G90" s="765"/>
      <c r="H90" s="765"/>
      <c r="I90" s="766" t="str">
        <f>IF(I67&gt;0,((D90*D67)+(E90*E67)+(F90*F67)+(G90*G67)+(H90*H67))/I67,"             N/A")</f>
        <v xml:space="preserve">             N/A</v>
      </c>
      <c r="J90" s="106"/>
      <c r="K90" s="315" t="str">
        <f t="shared" si="6"/>
        <v/>
      </c>
      <c r="L90" s="103" t="str">
        <f t="shared" si="7"/>
        <v>ok</v>
      </c>
      <c r="M90" s="103" t="str">
        <f t="shared" si="7"/>
        <v>ok</v>
      </c>
      <c r="N90" s="103" t="str">
        <f t="shared" si="7"/>
        <v>ok</v>
      </c>
      <c r="O90" s="103" t="str">
        <f t="shared" si="7"/>
        <v>ok</v>
      </c>
      <c r="P90" s="103" t="str">
        <f t="shared" si="7"/>
        <v>ok</v>
      </c>
    </row>
    <row r="91" spans="1:16" ht="15">
      <c r="A91" s="161"/>
      <c r="B91" s="52"/>
      <c r="C91" s="152" t="str">
        <f>$C$68</f>
        <v>1 bedroom</v>
      </c>
      <c r="D91" s="765"/>
      <c r="E91" s="765"/>
      <c r="F91" s="765"/>
      <c r="G91" s="765"/>
      <c r="H91" s="765"/>
      <c r="I91" s="766" t="str">
        <f>IF(I68&gt;0,((D91*D68)+(E91*E68)+(F91*F68)+(G91*G68)+(H91*H68))/I68,"               N/A")</f>
        <v xml:space="preserve">               N/A</v>
      </c>
      <c r="J91" s="106"/>
      <c r="K91" s="315" t="str">
        <f t="shared" si="6"/>
        <v/>
      </c>
      <c r="L91" s="103" t="str">
        <f t="shared" si="7"/>
        <v>ok</v>
      </c>
      <c r="M91" s="103" t="str">
        <f t="shared" si="7"/>
        <v>ok</v>
      </c>
      <c r="N91" s="103" t="str">
        <f t="shared" si="7"/>
        <v>ok</v>
      </c>
      <c r="O91" s="103" t="str">
        <f t="shared" si="7"/>
        <v>ok</v>
      </c>
      <c r="P91" s="103" t="str">
        <f t="shared" si="7"/>
        <v>ok</v>
      </c>
    </row>
    <row r="92" spans="1:16" ht="15">
      <c r="A92" s="161"/>
      <c r="B92" s="52"/>
      <c r="C92" s="151" t="str">
        <f>$C$69</f>
        <v>2 bedrooms</v>
      </c>
      <c r="D92" s="765"/>
      <c r="E92" s="765"/>
      <c r="F92" s="765"/>
      <c r="G92" s="765"/>
      <c r="H92" s="765"/>
      <c r="I92" s="766" t="str">
        <f>IF(I69&gt;0,((D92*D69)+(E92*E69)+(F92*F69)+(G92*G69)+(H92*H69))/I69,"               N/A")</f>
        <v xml:space="preserve">               N/A</v>
      </c>
      <c r="J92" s="106"/>
      <c r="K92" s="315" t="str">
        <f t="shared" si="6"/>
        <v/>
      </c>
      <c r="L92" s="103" t="str">
        <f t="shared" si="7"/>
        <v>ok</v>
      </c>
      <c r="M92" s="103" t="str">
        <f t="shared" si="7"/>
        <v>ok</v>
      </c>
      <c r="N92" s="103" t="str">
        <f t="shared" si="7"/>
        <v>ok</v>
      </c>
      <c r="O92" s="103" t="str">
        <f t="shared" si="7"/>
        <v>ok</v>
      </c>
      <c r="P92" s="103" t="str">
        <f t="shared" si="7"/>
        <v>ok</v>
      </c>
    </row>
    <row r="93" spans="1:16" ht="15">
      <c r="A93" s="161"/>
      <c r="B93" s="52"/>
      <c r="C93" s="151" t="str">
        <f>$C$70</f>
        <v>3 bedrooms</v>
      </c>
      <c r="D93" s="765"/>
      <c r="E93" s="765"/>
      <c r="F93" s="765"/>
      <c r="G93" s="765"/>
      <c r="H93" s="765"/>
      <c r="I93" s="766" t="str">
        <f>IF(I70&gt;0,((D93*D70)+(E93*E70)+(F93*F70)+(G93*G70)+(H93*H70))/I70,"               N/A")</f>
        <v xml:space="preserve">               N/A</v>
      </c>
      <c r="J93" s="106"/>
      <c r="K93" s="315" t="str">
        <f t="shared" si="6"/>
        <v/>
      </c>
      <c r="L93" s="103" t="str">
        <f t="shared" si="7"/>
        <v>ok</v>
      </c>
      <c r="M93" s="103" t="str">
        <f t="shared" si="7"/>
        <v>ok</v>
      </c>
      <c r="N93" s="103" t="str">
        <f t="shared" si="7"/>
        <v>ok</v>
      </c>
      <c r="O93" s="103" t="str">
        <f t="shared" si="7"/>
        <v>ok</v>
      </c>
      <c r="P93" s="103" t="str">
        <f t="shared" si="7"/>
        <v>ok</v>
      </c>
    </row>
    <row r="94" spans="1:16" ht="15">
      <c r="A94" s="161"/>
      <c r="B94" s="52"/>
      <c r="C94" s="151" t="str">
        <f>$C$71</f>
        <v>4 bedrooms</v>
      </c>
      <c r="D94" s="765"/>
      <c r="E94" s="765"/>
      <c r="F94" s="765"/>
      <c r="G94" s="765"/>
      <c r="H94" s="765"/>
      <c r="I94" s="767" t="str">
        <f>IF(I71&gt;0,((D94*D71)+(E94*E71)+(F94*F71)+(G94*G71)+(H94*H71))/I71,"               N/A")</f>
        <v xml:space="preserve">               N/A</v>
      </c>
      <c r="J94" s="106"/>
      <c r="K94" s="315" t="str">
        <f t="shared" si="6"/>
        <v/>
      </c>
      <c r="L94" s="103" t="str">
        <f t="shared" si="7"/>
        <v>ok</v>
      </c>
      <c r="M94" s="103" t="str">
        <f t="shared" si="7"/>
        <v>ok</v>
      </c>
      <c r="N94" s="103" t="str">
        <f t="shared" si="7"/>
        <v>ok</v>
      </c>
      <c r="O94" s="103" t="str">
        <f t="shared" si="7"/>
        <v>ok</v>
      </c>
      <c r="P94" s="103" t="str">
        <f t="shared" si="7"/>
        <v>ok</v>
      </c>
    </row>
    <row r="95" spans="1:16" ht="9.9499999999999993" customHeight="1">
      <c r="A95" s="161"/>
      <c r="B95" s="52"/>
      <c r="C95" s="138"/>
      <c r="D95" s="138"/>
      <c r="E95" s="138"/>
      <c r="F95" s="138"/>
      <c r="G95" s="138"/>
      <c r="H95" s="138"/>
      <c r="I95" s="138"/>
      <c r="J95" s="156"/>
    </row>
    <row r="96" spans="1:16" ht="15.75">
      <c r="A96" s="161">
        <f>A86+1</f>
        <v>16</v>
      </c>
      <c r="B96" s="52" t="s">
        <v>636</v>
      </c>
      <c r="C96" s="144" t="s">
        <v>669</v>
      </c>
      <c r="D96" s="138"/>
      <c r="E96" s="138"/>
      <c r="F96" s="138"/>
      <c r="G96" s="138"/>
      <c r="H96" s="138"/>
      <c r="I96" s="138"/>
      <c r="J96" s="156"/>
    </row>
    <row r="97" spans="1:11">
      <c r="A97" s="161"/>
      <c r="B97" s="52"/>
      <c r="C97" s="52" t="s">
        <v>670</v>
      </c>
      <c r="D97" s="52"/>
      <c r="E97" s="52"/>
      <c r="F97" s="52"/>
      <c r="G97" s="52"/>
      <c r="H97" s="52"/>
      <c r="I97" s="52"/>
      <c r="J97" s="106"/>
    </row>
    <row r="98" spans="1:11" ht="8.1" customHeight="1">
      <c r="A98" s="161"/>
      <c r="B98" s="52"/>
      <c r="C98" s="138"/>
      <c r="D98" s="138"/>
      <c r="E98" s="138"/>
      <c r="F98" s="138"/>
      <c r="G98" s="138"/>
      <c r="H98" s="138"/>
      <c r="I98" s="138"/>
      <c r="J98" s="156"/>
    </row>
    <row r="99" spans="1:11" ht="15.75">
      <c r="A99" s="161"/>
      <c r="B99" s="163"/>
      <c r="C99" s="52"/>
      <c r="D99" s="52" t="s">
        <v>544</v>
      </c>
      <c r="E99" s="52"/>
      <c r="F99" s="52"/>
      <c r="G99" s="52"/>
      <c r="H99" s="5" t="s">
        <v>325</v>
      </c>
      <c r="I99" s="52"/>
      <c r="J99" s="156"/>
    </row>
    <row r="100" spans="1:11">
      <c r="A100" s="161"/>
      <c r="B100" s="163"/>
      <c r="C100" s="52"/>
      <c r="D100" s="52" t="s">
        <v>404</v>
      </c>
      <c r="E100" s="52"/>
      <c r="F100" s="52"/>
      <c r="G100" s="1223" t="s">
        <v>267</v>
      </c>
      <c r="H100" s="1224"/>
      <c r="I100" s="52"/>
      <c r="J100" s="106"/>
    </row>
    <row r="101" spans="1:11" ht="12.75" customHeight="1">
      <c r="A101" s="161"/>
      <c r="B101" s="163"/>
      <c r="C101" s="52"/>
      <c r="D101" s="52" t="s">
        <v>405</v>
      </c>
      <c r="E101" s="52"/>
      <c r="F101" s="52"/>
      <c r="G101" s="1223" t="s">
        <v>267</v>
      </c>
      <c r="H101" s="1224"/>
      <c r="I101" s="52"/>
      <c r="J101" s="106"/>
    </row>
    <row r="102" spans="1:11" ht="8.1" customHeight="1">
      <c r="A102" s="161"/>
      <c r="B102" s="163"/>
      <c r="C102" s="138"/>
      <c r="D102" s="138"/>
      <c r="E102" s="138"/>
      <c r="F102" s="138"/>
      <c r="G102" s="138"/>
      <c r="H102" s="164"/>
      <c r="I102" s="138"/>
      <c r="J102" s="156"/>
    </row>
    <row r="103" spans="1:11">
      <c r="A103" s="161"/>
      <c r="B103" s="163"/>
      <c r="C103" s="52"/>
      <c r="D103" s="52" t="s">
        <v>717</v>
      </c>
      <c r="E103" s="52"/>
      <c r="F103" s="52"/>
      <c r="G103" s="52"/>
      <c r="H103" s="5" t="s">
        <v>325</v>
      </c>
      <c r="I103" s="52"/>
      <c r="J103" s="106"/>
    </row>
    <row r="104" spans="1:11" ht="8.1" customHeight="1">
      <c r="A104" s="161"/>
      <c r="B104" s="163"/>
      <c r="C104" s="138"/>
      <c r="D104" s="138"/>
      <c r="E104" s="138"/>
      <c r="F104" s="138"/>
      <c r="G104" s="138"/>
      <c r="H104" s="164"/>
      <c r="I104" s="138"/>
      <c r="J104" s="156"/>
    </row>
    <row r="105" spans="1:11">
      <c r="A105" s="161"/>
      <c r="B105" s="163"/>
      <c r="C105" s="52"/>
      <c r="D105" s="52" t="s">
        <v>671</v>
      </c>
      <c r="E105" s="52"/>
      <c r="F105" s="52"/>
      <c r="G105" s="52"/>
      <c r="H105" s="165"/>
      <c r="I105" s="52"/>
      <c r="J105" s="106"/>
    </row>
    <row r="106" spans="1:11" ht="16.5" customHeight="1">
      <c r="A106" s="161"/>
      <c r="B106" s="163"/>
      <c r="C106" s="52"/>
      <c r="D106" s="52" t="s">
        <v>672</v>
      </c>
      <c r="E106" s="52"/>
      <c r="F106" s="52"/>
      <c r="G106" s="52"/>
      <c r="H106" s="5" t="s">
        <v>325</v>
      </c>
      <c r="I106" s="52"/>
      <c r="J106" s="106"/>
    </row>
    <row r="107" spans="1:11" ht="18.75" customHeight="1">
      <c r="A107" s="161"/>
      <c r="B107" s="163"/>
      <c r="C107" s="52"/>
      <c r="D107" s="52" t="s">
        <v>1283</v>
      </c>
      <c r="E107" s="52"/>
      <c r="F107" s="52"/>
      <c r="G107" s="52"/>
      <c r="H107" s="5" t="s">
        <v>325</v>
      </c>
      <c r="J107" s="106"/>
      <c r="K107" s="799" t="str">
        <f>IF(OR(H107="Yes",H108="Yes"),"Yes","No")</f>
        <v>No</v>
      </c>
    </row>
    <row r="108" spans="1:11">
      <c r="A108" s="161"/>
      <c r="B108" s="163"/>
      <c r="C108" s="52"/>
      <c r="D108" s="52" t="s">
        <v>673</v>
      </c>
      <c r="E108" s="52"/>
      <c r="F108" s="52"/>
      <c r="G108" s="52"/>
      <c r="H108" s="5" t="s">
        <v>325</v>
      </c>
      <c r="I108" s="52"/>
      <c r="J108" s="106"/>
    </row>
    <row r="109" spans="1:11" ht="12.75" customHeight="1">
      <c r="A109" s="161"/>
      <c r="B109" s="163"/>
      <c r="C109" s="138"/>
      <c r="D109" s="138"/>
      <c r="E109" s="138"/>
      <c r="F109" s="138"/>
      <c r="G109" s="138"/>
      <c r="H109" s="164"/>
      <c r="I109" s="138"/>
      <c r="J109" s="156"/>
    </row>
    <row r="110" spans="1:11" ht="12.75" customHeight="1">
      <c r="A110" s="161"/>
      <c r="B110" s="163"/>
      <c r="C110" s="52"/>
      <c r="D110" s="52" t="s">
        <v>674</v>
      </c>
      <c r="E110" s="52"/>
      <c r="F110" s="52"/>
      <c r="G110" s="52"/>
      <c r="H110" s="165"/>
      <c r="I110" s="52"/>
      <c r="J110" s="106"/>
    </row>
    <row r="111" spans="1:11" ht="12.75" customHeight="1">
      <c r="A111" s="161"/>
      <c r="B111" s="163"/>
      <c r="C111" s="138"/>
      <c r="D111" s="52" t="s">
        <v>675</v>
      </c>
      <c r="E111" s="52"/>
      <c r="F111" s="52"/>
      <c r="G111" s="52"/>
      <c r="H111" s="5" t="s">
        <v>325</v>
      </c>
      <c r="I111" s="138"/>
      <c r="J111" s="156"/>
    </row>
    <row r="112" spans="1:11" ht="12.75" customHeight="1">
      <c r="A112" s="161"/>
      <c r="B112" s="163"/>
      <c r="C112" s="52"/>
      <c r="D112" s="138"/>
      <c r="E112" s="138"/>
      <c r="F112" s="138"/>
      <c r="G112" s="138"/>
      <c r="H112" s="164"/>
      <c r="I112" s="52"/>
      <c r="J112" s="106"/>
    </row>
    <row r="113" spans="1:10" ht="12.75" customHeight="1">
      <c r="A113" s="161"/>
      <c r="B113" s="163"/>
      <c r="C113" s="52"/>
      <c r="D113" s="52" t="s">
        <v>676</v>
      </c>
      <c r="E113" s="52"/>
      <c r="F113" s="52"/>
      <c r="G113" s="52"/>
      <c r="H113" s="166"/>
      <c r="I113" s="52"/>
      <c r="J113" s="106"/>
    </row>
    <row r="114" spans="1:10" ht="15" customHeight="1">
      <c r="A114" s="161"/>
      <c r="B114" s="163"/>
      <c r="C114" s="138"/>
      <c r="D114" s="52" t="s">
        <v>677</v>
      </c>
      <c r="E114" s="52"/>
      <c r="F114" s="52"/>
      <c r="G114" s="52"/>
      <c r="H114" s="62" t="s">
        <v>325</v>
      </c>
      <c r="I114" s="138"/>
      <c r="J114" s="156"/>
    </row>
    <row r="115" spans="1:10" ht="12.75" customHeight="1">
      <c r="A115" s="161"/>
      <c r="B115" s="163"/>
      <c r="C115" s="52"/>
      <c r="D115" s="52" t="s">
        <v>681</v>
      </c>
      <c r="E115" s="52"/>
      <c r="F115" s="52"/>
      <c r="G115" s="52"/>
      <c r="H115" s="5" t="s">
        <v>325</v>
      </c>
      <c r="I115" s="52"/>
      <c r="J115" s="106"/>
    </row>
    <row r="116" spans="1:10" ht="12.75" customHeight="1">
      <c r="A116" s="161"/>
      <c r="B116" s="163"/>
      <c r="C116" s="52"/>
      <c r="D116" s="138"/>
      <c r="E116" s="138"/>
      <c r="F116" s="138"/>
      <c r="G116" s="138"/>
      <c r="H116" s="138"/>
      <c r="I116" s="52"/>
      <c r="J116" s="106"/>
    </row>
    <row r="117" spans="1:10" ht="12.75" customHeight="1">
      <c r="A117" s="161"/>
      <c r="B117" s="163"/>
      <c r="C117" s="52"/>
      <c r="D117" s="52" t="s">
        <v>718</v>
      </c>
      <c r="E117" s="52"/>
      <c r="F117" s="52"/>
      <c r="G117" s="52"/>
      <c r="H117" s="234" t="s">
        <v>325</v>
      </c>
      <c r="I117" s="52"/>
      <c r="J117" s="106"/>
    </row>
    <row r="118" spans="1:10" ht="12.75" customHeight="1">
      <c r="A118" s="161"/>
      <c r="B118" s="163"/>
      <c r="C118" s="138"/>
      <c r="D118" s="138"/>
      <c r="E118" s="138"/>
      <c r="F118" s="138"/>
      <c r="G118" s="138"/>
      <c r="H118" s="138"/>
      <c r="I118" s="138"/>
      <c r="J118" s="156"/>
    </row>
    <row r="119" spans="1:10" ht="12.75" customHeight="1">
      <c r="A119" s="161"/>
      <c r="B119" s="163"/>
      <c r="C119" s="52"/>
      <c r="D119" s="52" t="s">
        <v>84</v>
      </c>
      <c r="H119" s="1138" t="s">
        <v>325</v>
      </c>
      <c r="I119" s="52"/>
      <c r="J119" s="106"/>
    </row>
    <row r="120" spans="1:10" ht="12.75" customHeight="1">
      <c r="A120" s="161"/>
      <c r="B120" s="163"/>
      <c r="C120" s="52"/>
      <c r="D120" s="167" t="s">
        <v>1064</v>
      </c>
      <c r="E120" s="138"/>
      <c r="F120" s="138"/>
      <c r="G120" s="1185" t="s">
        <v>533</v>
      </c>
      <c r="H120" s="1186"/>
      <c r="I120" s="52"/>
      <c r="J120" s="106"/>
    </row>
    <row r="121" spans="1:10" ht="12.75" customHeight="1">
      <c r="A121" s="161"/>
      <c r="B121" s="163"/>
      <c r="C121" s="52"/>
      <c r="D121" s="99" t="s">
        <v>1064</v>
      </c>
      <c r="E121" s="99"/>
      <c r="F121" s="99"/>
      <c r="G121" s="1185" t="s">
        <v>533</v>
      </c>
      <c r="H121" s="1186"/>
      <c r="I121" s="52"/>
      <c r="J121" s="106"/>
    </row>
    <row r="122" spans="1:10" ht="12.75" customHeight="1">
      <c r="A122" s="161"/>
      <c r="B122" s="163"/>
      <c r="C122" s="138"/>
      <c r="D122" s="99" t="s">
        <v>1064</v>
      </c>
      <c r="E122" s="99"/>
      <c r="F122" s="99"/>
      <c r="G122" s="1185" t="s">
        <v>533</v>
      </c>
      <c r="H122" s="1186"/>
      <c r="I122" s="138"/>
      <c r="J122" s="156"/>
    </row>
    <row r="123" spans="1:10" ht="15.75">
      <c r="A123" s="161"/>
      <c r="B123" s="163"/>
      <c r="C123" s="52"/>
      <c r="D123" s="1137" t="s">
        <v>797</v>
      </c>
      <c r="E123" s="99"/>
      <c r="F123" s="99"/>
      <c r="G123" s="1185" t="s">
        <v>325</v>
      </c>
      <c r="H123" s="1186"/>
      <c r="I123" s="52"/>
      <c r="J123" s="106"/>
    </row>
    <row r="124" spans="1:10" ht="8.1" customHeight="1" thickBot="1">
      <c r="A124" s="168"/>
      <c r="B124" s="132"/>
      <c r="C124" s="169"/>
      <c r="D124" s="169"/>
      <c r="E124" s="169"/>
      <c r="F124" s="169"/>
      <c r="G124" s="169"/>
      <c r="H124" s="169"/>
      <c r="I124" s="169"/>
      <c r="J124" s="170"/>
    </row>
    <row r="125" spans="1:10" s="65" customFormat="1" ht="12">
      <c r="A125" s="64"/>
      <c r="B125" s="136">
        <f>$E$7</f>
        <v>0</v>
      </c>
      <c r="C125" s="67"/>
      <c r="D125" s="64"/>
      <c r="E125" s="64"/>
      <c r="F125" s="137"/>
      <c r="G125" s="137" t="e">
        <f>$G$59</f>
        <v>#VALUE!</v>
      </c>
      <c r="H125" s="1189" t="e">
        <f>$H$59</f>
        <v>#VALUE!</v>
      </c>
      <c r="I125" s="1189"/>
      <c r="J125" s="1189"/>
    </row>
    <row r="126" spans="1:10" s="65" customFormat="1" thickBot="1">
      <c r="A126" s="67" t="s">
        <v>651</v>
      </c>
      <c r="B126" s="64"/>
      <c r="C126" s="67"/>
      <c r="D126" s="64"/>
      <c r="E126" s="64"/>
      <c r="F126" s="64"/>
      <c r="G126" s="64"/>
      <c r="H126" s="64"/>
      <c r="I126" s="67" t="s">
        <v>682</v>
      </c>
      <c r="J126" s="64"/>
    </row>
    <row r="127" spans="1:10" s="65" customFormat="1" ht="15" customHeight="1">
      <c r="A127" s="171"/>
      <c r="B127" s="172"/>
      <c r="C127" s="172"/>
      <c r="D127" s="172"/>
      <c r="E127" s="173" t="s">
        <v>702</v>
      </c>
      <c r="F127" s="173"/>
      <c r="G127" s="174" t="s">
        <v>703</v>
      </c>
      <c r="H127" s="173"/>
      <c r="I127" s="173"/>
      <c r="J127" s="175"/>
    </row>
    <row r="128" spans="1:10" ht="15" customHeight="1">
      <c r="A128" s="116">
        <f>A96+1</f>
        <v>17</v>
      </c>
      <c r="B128" s="52" t="s">
        <v>636</v>
      </c>
      <c r="C128" s="138" t="s">
        <v>704</v>
      </c>
      <c r="D128" s="138"/>
      <c r="E128" s="176" t="s">
        <v>657</v>
      </c>
      <c r="F128" s="139"/>
      <c r="G128" s="177" t="s">
        <v>705</v>
      </c>
      <c r="H128" s="139"/>
      <c r="I128" s="176" t="s">
        <v>706</v>
      </c>
      <c r="J128" s="156"/>
    </row>
    <row r="129" spans="1:11" s="101" customFormat="1">
      <c r="A129" s="116"/>
      <c r="B129" s="104"/>
      <c r="C129" s="130" t="s">
        <v>1396</v>
      </c>
      <c r="D129" s="130"/>
      <c r="E129" s="178">
        <f t="shared" ref="E129:E134" si="8">G129+I129</f>
        <v>0</v>
      </c>
      <c r="F129" s="179"/>
      <c r="G129" s="50"/>
      <c r="H129" s="179"/>
      <c r="I129" s="47"/>
      <c r="J129" s="127"/>
    </row>
    <row r="130" spans="1:11" s="101" customFormat="1">
      <c r="A130" s="116"/>
      <c r="B130" s="104"/>
      <c r="C130" s="130" t="s">
        <v>1397</v>
      </c>
      <c r="D130" s="130"/>
      <c r="E130" s="180">
        <f t="shared" si="8"/>
        <v>0</v>
      </c>
      <c r="F130" s="179"/>
      <c r="G130" s="50"/>
      <c r="H130" s="179"/>
      <c r="I130" s="47"/>
      <c r="J130" s="127"/>
    </row>
    <row r="131" spans="1:11" s="101" customFormat="1">
      <c r="A131" s="116"/>
      <c r="B131" s="104"/>
      <c r="C131" s="130" t="s">
        <v>1401</v>
      </c>
      <c r="D131" s="130"/>
      <c r="E131" s="180">
        <f t="shared" si="8"/>
        <v>0</v>
      </c>
      <c r="F131" s="179"/>
      <c r="G131" s="50"/>
      <c r="H131" s="179"/>
      <c r="I131" s="47"/>
      <c r="J131" s="127"/>
    </row>
    <row r="132" spans="1:11" s="101" customFormat="1">
      <c r="A132" s="116"/>
      <c r="B132" s="104"/>
      <c r="C132" s="130" t="s">
        <v>1402</v>
      </c>
      <c r="D132" s="130"/>
      <c r="E132" s="180">
        <f t="shared" si="8"/>
        <v>0</v>
      </c>
      <c r="F132" s="179"/>
      <c r="G132" s="50"/>
      <c r="H132" s="179"/>
      <c r="I132" s="47"/>
      <c r="J132" s="127"/>
    </row>
    <row r="133" spans="1:11" s="101" customFormat="1">
      <c r="A133" s="116"/>
      <c r="B133" s="104"/>
      <c r="C133" s="130" t="s">
        <v>1403</v>
      </c>
      <c r="D133" s="130"/>
      <c r="E133" s="180">
        <f t="shared" si="8"/>
        <v>0</v>
      </c>
      <c r="F133" s="179"/>
      <c r="G133" s="50"/>
      <c r="H133" s="179"/>
      <c r="I133" s="47"/>
      <c r="J133" s="127"/>
    </row>
    <row r="134" spans="1:11" s="101" customFormat="1">
      <c r="A134" s="116"/>
      <c r="B134" s="104"/>
      <c r="C134" s="130" t="s">
        <v>1404</v>
      </c>
      <c r="D134" s="130"/>
      <c r="E134" s="180">
        <f t="shared" si="8"/>
        <v>0</v>
      </c>
      <c r="F134" s="179"/>
      <c r="G134" s="50"/>
      <c r="H134" s="179"/>
      <c r="I134" s="47"/>
      <c r="J134" s="127"/>
    </row>
    <row r="135" spans="1:11">
      <c r="A135" s="161"/>
      <c r="B135" s="52"/>
      <c r="C135" s="130" t="s">
        <v>1260</v>
      </c>
      <c r="D135" s="130"/>
      <c r="E135" s="181">
        <f>SUM(E129:E134)</f>
        <v>0</v>
      </c>
      <c r="F135" s="157"/>
      <c r="G135" s="181">
        <f>SUM(G129:G134)</f>
        <v>0</v>
      </c>
      <c r="H135" s="157"/>
      <c r="I135" s="181">
        <f>SUM(I129:I134)</f>
        <v>0</v>
      </c>
      <c r="J135" s="106"/>
    </row>
    <row r="136" spans="1:11" ht="14.45" customHeight="1">
      <c r="A136" s="161"/>
      <c r="B136" s="52"/>
      <c r="C136" s="138"/>
      <c r="D136" s="138"/>
      <c r="E136" s="771" t="str">
        <f>IF(E135&lt;&gt;H36,"Errror! Please verify the total number of buidings entered in #11.", "")</f>
        <v/>
      </c>
      <c r="F136" s="138"/>
      <c r="G136" s="138"/>
      <c r="H136" s="138"/>
      <c r="I136" s="138"/>
      <c r="J136" s="156"/>
    </row>
    <row r="137" spans="1:11" ht="15.75">
      <c r="A137" s="161">
        <f>A128+1</f>
        <v>18</v>
      </c>
      <c r="B137" s="52" t="s">
        <v>636</v>
      </c>
      <c r="C137" s="138" t="s">
        <v>708</v>
      </c>
      <c r="D137" s="138"/>
      <c r="E137" s="182">
        <f>I72</f>
        <v>0</v>
      </c>
      <c r="F137" s="138"/>
      <c r="G137" s="50"/>
      <c r="H137" s="138"/>
      <c r="I137" s="47"/>
      <c r="J137" s="156"/>
    </row>
    <row r="138" spans="1:11" ht="14.1" customHeight="1">
      <c r="A138" s="161"/>
      <c r="B138" s="52"/>
      <c r="C138" s="138"/>
      <c r="D138" s="138"/>
      <c r="E138" s="772" t="str">
        <f>IF(G137+I137&lt;&gt;E137,"Error! Check Number Of Units For New Construction/ Rehabilitation","")</f>
        <v/>
      </c>
      <c r="F138" s="138"/>
      <c r="G138" s="138"/>
      <c r="H138" s="138"/>
      <c r="I138" s="138"/>
      <c r="J138" s="156"/>
    </row>
    <row r="139" spans="1:11" ht="15.75">
      <c r="A139" s="161">
        <f>A137+1</f>
        <v>19</v>
      </c>
      <c r="B139" s="52" t="s">
        <v>636</v>
      </c>
      <c r="C139" s="138" t="s">
        <v>709</v>
      </c>
      <c r="D139" s="138"/>
      <c r="E139" s="138"/>
      <c r="F139" s="138"/>
      <c r="G139" s="138"/>
      <c r="H139" s="138"/>
      <c r="I139" s="138"/>
      <c r="J139" s="156"/>
    </row>
    <row r="140" spans="1:11" s="101" customFormat="1">
      <c r="A140" s="116"/>
      <c r="B140" s="104"/>
      <c r="C140" s="130" t="s">
        <v>1395</v>
      </c>
      <c r="D140" s="130"/>
      <c r="E140" s="716">
        <f>G140+I140</f>
        <v>0</v>
      </c>
      <c r="F140" s="104"/>
      <c r="G140" s="717"/>
      <c r="H140" s="104"/>
      <c r="I140" s="718"/>
      <c r="J140" s="127"/>
    </row>
    <row r="141" spans="1:11" s="101" customFormat="1">
      <c r="A141" s="116"/>
      <c r="B141" s="104"/>
      <c r="C141" s="130" t="s">
        <v>1394</v>
      </c>
      <c r="D141" s="130"/>
      <c r="E141" s="716">
        <f>G141+I141</f>
        <v>0</v>
      </c>
      <c r="F141" s="104"/>
      <c r="G141" s="717"/>
      <c r="H141" s="104"/>
      <c r="I141" s="718"/>
      <c r="J141" s="127"/>
    </row>
    <row r="142" spans="1:11" ht="14.1" customHeight="1">
      <c r="A142" s="161"/>
      <c r="B142" s="52"/>
      <c r="C142" s="138"/>
      <c r="D142" s="138"/>
      <c r="E142" s="138"/>
      <c r="F142" s="138"/>
      <c r="G142" s="747"/>
      <c r="H142" s="138"/>
      <c r="I142" s="138"/>
      <c r="J142" s="156"/>
    </row>
    <row r="143" spans="1:11" ht="15.75">
      <c r="A143" s="116">
        <f>A139+1</f>
        <v>20</v>
      </c>
      <c r="B143" s="52" t="s">
        <v>636</v>
      </c>
      <c r="C143" s="138" t="s">
        <v>710</v>
      </c>
      <c r="D143" s="138"/>
      <c r="E143" s="138"/>
      <c r="F143" s="176" t="s">
        <v>657</v>
      </c>
      <c r="G143" s="139"/>
      <c r="H143" s="139" t="s">
        <v>711</v>
      </c>
      <c r="I143" s="138"/>
      <c r="J143" s="156"/>
    </row>
    <row r="144" spans="1:11" s="101" customFormat="1">
      <c r="A144" s="116"/>
      <c r="B144" s="104"/>
      <c r="C144" s="130" t="s">
        <v>1395</v>
      </c>
      <c r="D144" s="130"/>
      <c r="E144" s="130" t="s">
        <v>1405</v>
      </c>
      <c r="F144" s="184">
        <f>'5. Tax Credits'!H11</f>
        <v>0</v>
      </c>
      <c r="G144" s="104" t="s">
        <v>712</v>
      </c>
      <c r="H144" s="185" t="str">
        <f>IF(E140&gt;0,F144/E140,"%")</f>
        <v>%</v>
      </c>
      <c r="I144" s="104"/>
      <c r="J144" s="127"/>
      <c r="K144" s="103"/>
    </row>
    <row r="145" spans="1:10" s="101" customFormat="1">
      <c r="A145" s="116"/>
      <c r="B145" s="104"/>
      <c r="C145" s="130" t="s">
        <v>1394</v>
      </c>
      <c r="D145" s="130"/>
      <c r="E145" s="130"/>
      <c r="F145" s="51"/>
      <c r="G145" s="104" t="s">
        <v>712</v>
      </c>
      <c r="H145" s="746" t="str">
        <f>IF(F145&gt;0,IF(E141&gt;0,F145/E141,"%"),"           N/A")</f>
        <v xml:space="preserve">           N/A</v>
      </c>
      <c r="I145" s="104"/>
      <c r="J145" s="127"/>
    </row>
    <row r="146" spans="1:10" ht="9.9499999999999993" customHeight="1">
      <c r="A146" s="116"/>
      <c r="B146" s="52"/>
      <c r="C146" s="138"/>
      <c r="D146" s="138"/>
      <c r="E146" s="138"/>
      <c r="F146" s="187"/>
      <c r="G146" s="138"/>
      <c r="H146" s="138"/>
      <c r="I146" s="138"/>
      <c r="J146" s="156"/>
    </row>
    <row r="147" spans="1:10" ht="15.75">
      <c r="A147" s="116">
        <f>A143+1</f>
        <v>21</v>
      </c>
      <c r="B147" s="52" t="s">
        <v>636</v>
      </c>
      <c r="C147" s="138" t="s">
        <v>713</v>
      </c>
      <c r="D147" s="52"/>
      <c r="E147" s="52"/>
      <c r="F147" s="7"/>
      <c r="G147" s="737" t="s">
        <v>1130</v>
      </c>
      <c r="H147" s="738" t="e">
        <f>F147/E137</f>
        <v>#DIV/0!</v>
      </c>
      <c r="I147" s="52"/>
      <c r="J147" s="106"/>
    </row>
    <row r="148" spans="1:10" ht="9.9499999999999993" customHeight="1">
      <c r="A148" s="116"/>
      <c r="B148" s="52"/>
      <c r="C148" s="138"/>
      <c r="D148" s="138"/>
      <c r="E148" s="138"/>
      <c r="F148" s="138"/>
      <c r="G148" s="138"/>
      <c r="H148" s="138"/>
      <c r="I148" s="138"/>
      <c r="J148" s="156"/>
    </row>
    <row r="149" spans="1:10" ht="15.75">
      <c r="A149" s="116">
        <f>A147+1</f>
        <v>22</v>
      </c>
      <c r="B149" s="52" t="s">
        <v>636</v>
      </c>
      <c r="C149" s="138" t="s">
        <v>342</v>
      </c>
      <c r="D149" s="1185" t="s">
        <v>352</v>
      </c>
      <c r="E149" s="1253"/>
      <c r="F149" s="1186"/>
      <c r="G149" s="52"/>
      <c r="H149" s="748"/>
      <c r="I149" s="52"/>
      <c r="J149" s="106"/>
    </row>
    <row r="150" spans="1:10" s="101" customFormat="1">
      <c r="A150" s="116"/>
      <c r="B150" s="104"/>
      <c r="C150" s="104"/>
      <c r="D150" s="104"/>
      <c r="E150" s="104"/>
      <c r="F150" s="100"/>
      <c r="G150" s="52"/>
      <c r="H150" s="163">
        <f>IF(E150&lt;&gt;" ",1,0)</f>
        <v>0</v>
      </c>
      <c r="I150" s="52"/>
      <c r="J150" s="106"/>
    </row>
    <row r="151" spans="1:10" s="101" customFormat="1">
      <c r="A151" s="116"/>
      <c r="B151" s="104"/>
      <c r="C151" s="104"/>
      <c r="D151" s="104"/>
      <c r="E151" s="104"/>
      <c r="F151" s="100"/>
      <c r="G151" s="52"/>
      <c r="H151" s="163">
        <f>IF(E151&lt;&gt;" ",1,0)</f>
        <v>0</v>
      </c>
      <c r="I151" s="52"/>
      <c r="J151" s="106"/>
    </row>
    <row r="152" spans="1:10" s="101" customFormat="1">
      <c r="A152" s="116"/>
      <c r="B152" s="104"/>
      <c r="C152" s="104"/>
      <c r="D152" s="104"/>
      <c r="E152" s="104"/>
      <c r="F152" s="100"/>
      <c r="G152" s="52"/>
      <c r="H152" s="163">
        <f>IF(E152&lt;&gt;" ",1,0)</f>
        <v>0</v>
      </c>
      <c r="I152" s="52"/>
      <c r="J152" s="106"/>
    </row>
    <row r="153" spans="1:10" s="101" customFormat="1">
      <c r="A153" s="116"/>
      <c r="B153" s="104"/>
      <c r="C153" s="104"/>
      <c r="D153" s="104"/>
      <c r="E153" s="104"/>
      <c r="F153" s="100"/>
      <c r="G153" s="52"/>
      <c r="H153" s="163">
        <f>IF(E153&lt;&gt;" ",1,0)</f>
        <v>0</v>
      </c>
      <c r="I153" s="52"/>
      <c r="J153" s="106"/>
    </row>
    <row r="154" spans="1:10" ht="9.9499999999999993" customHeight="1">
      <c r="A154" s="116"/>
      <c r="B154" s="52"/>
      <c r="C154" s="138"/>
      <c r="D154" s="138"/>
      <c r="E154" s="164"/>
      <c r="F154" s="138"/>
      <c r="G154" s="138"/>
      <c r="H154" s="138"/>
      <c r="I154" s="52"/>
      <c r="J154" s="156"/>
    </row>
    <row r="155" spans="1:10" ht="15.75">
      <c r="A155" s="116">
        <f>A149+1</f>
        <v>23</v>
      </c>
      <c r="B155" s="52" t="s">
        <v>636</v>
      </c>
      <c r="C155" s="138" t="s">
        <v>145</v>
      </c>
      <c r="D155" s="52"/>
      <c r="E155" s="165"/>
      <c r="F155" s="5" t="s">
        <v>325</v>
      </c>
      <c r="G155" s="188"/>
      <c r="H155" s="1012"/>
      <c r="I155" s="235"/>
      <c r="J155" s="106"/>
    </row>
    <row r="156" spans="1:10" ht="9.9499999999999993" customHeight="1">
      <c r="A156" s="116"/>
      <c r="B156" s="52"/>
      <c r="C156" s="138"/>
      <c r="D156" s="138"/>
      <c r="E156" s="164"/>
      <c r="F156" s="138"/>
      <c r="G156" s="138"/>
      <c r="H156" s="138"/>
      <c r="I156" s="52"/>
      <c r="J156" s="156"/>
    </row>
    <row r="157" spans="1:10" ht="15.75">
      <c r="A157" s="116">
        <f>A155+1</f>
        <v>24</v>
      </c>
      <c r="B157" s="52" t="s">
        <v>636</v>
      </c>
      <c r="C157" s="138" t="s">
        <v>719</v>
      </c>
      <c r="D157" s="52"/>
      <c r="E157" s="165"/>
      <c r="F157" s="52"/>
      <c r="J157" s="156"/>
    </row>
    <row r="158" spans="1:10" s="101" customFormat="1" ht="15" customHeight="1">
      <c r="A158" s="116"/>
      <c r="B158" s="104"/>
      <c r="C158" s="104" t="s">
        <v>720</v>
      </c>
      <c r="D158" s="104"/>
      <c r="E158" s="2" t="s">
        <v>325</v>
      </c>
      <c r="F158" s="189"/>
      <c r="H158" s="1011"/>
      <c r="I158" s="1008"/>
      <c r="J158" s="127"/>
    </row>
    <row r="159" spans="1:10" s="101" customFormat="1" ht="15" customHeight="1">
      <c r="A159" s="116"/>
      <c r="B159" s="104"/>
      <c r="C159" s="104" t="s">
        <v>721</v>
      </c>
      <c r="D159" s="104"/>
      <c r="E159" s="2" t="s">
        <v>325</v>
      </c>
      <c r="F159" s="189"/>
      <c r="G159" s="1009"/>
      <c r="H159" s="1010"/>
      <c r="I159" s="1010"/>
      <c r="J159" s="127"/>
    </row>
    <row r="160" spans="1:10" s="101" customFormat="1" ht="15" customHeight="1" thickBot="1">
      <c r="A160" s="116"/>
      <c r="B160" s="104"/>
      <c r="C160" s="104" t="s">
        <v>722</v>
      </c>
      <c r="D160" s="104"/>
      <c r="E160" s="2" t="s">
        <v>325</v>
      </c>
      <c r="F160" s="189"/>
      <c r="G160" s="1244" t="s">
        <v>559</v>
      </c>
      <c r="H160" s="1244"/>
      <c r="I160" s="1244"/>
      <c r="J160" s="127"/>
    </row>
    <row r="161" spans="1:10" s="101" customFormat="1" ht="15" customHeight="1" thickTop="1">
      <c r="A161" s="116"/>
      <c r="B161" s="104"/>
      <c r="C161" s="104" t="s">
        <v>723</v>
      </c>
      <c r="D161" s="104"/>
      <c r="E161" s="2" t="s">
        <v>325</v>
      </c>
      <c r="F161" s="189"/>
      <c r="G161" s="1254"/>
      <c r="H161" s="1255"/>
      <c r="I161" s="1256"/>
      <c r="J161" s="127"/>
    </row>
    <row r="162" spans="1:10" s="101" customFormat="1" ht="15" customHeight="1">
      <c r="A162" s="116"/>
      <c r="B162" s="104"/>
      <c r="C162" s="104" t="s">
        <v>724</v>
      </c>
      <c r="D162" s="104"/>
      <c r="E162" s="2" t="s">
        <v>325</v>
      </c>
      <c r="F162" s="189"/>
      <c r="G162" s="1257"/>
      <c r="H162" s="1258"/>
      <c r="I162" s="1259"/>
      <c r="J162" s="127"/>
    </row>
    <row r="163" spans="1:10" s="101" customFormat="1" ht="15" customHeight="1">
      <c r="A163" s="116"/>
      <c r="B163" s="104"/>
      <c r="C163" s="104" t="s">
        <v>725</v>
      </c>
      <c r="D163" s="104"/>
      <c r="E163" s="2" t="s">
        <v>325</v>
      </c>
      <c r="F163" s="189"/>
      <c r="G163" s="1257"/>
      <c r="H163" s="1258"/>
      <c r="I163" s="1259"/>
      <c r="J163" s="127"/>
    </row>
    <row r="164" spans="1:10" s="101" customFormat="1" ht="15" customHeight="1">
      <c r="A164" s="116"/>
      <c r="B164" s="104"/>
      <c r="C164" s="104" t="s">
        <v>726</v>
      </c>
      <c r="D164" s="104"/>
      <c r="E164" s="2" t="s">
        <v>325</v>
      </c>
      <c r="F164" s="189"/>
      <c r="G164" s="1257"/>
      <c r="H164" s="1258"/>
      <c r="I164" s="1259"/>
      <c r="J164" s="127"/>
    </row>
    <row r="165" spans="1:10" s="101" customFormat="1" ht="15" customHeight="1">
      <c r="A165" s="116"/>
      <c r="B165" s="104"/>
      <c r="C165" s="104" t="s">
        <v>727</v>
      </c>
      <c r="D165" s="104"/>
      <c r="E165" s="2" t="s">
        <v>325</v>
      </c>
      <c r="F165" s="189"/>
      <c r="G165" s="1257"/>
      <c r="H165" s="1258"/>
      <c r="I165" s="1259"/>
      <c r="J165" s="127"/>
    </row>
    <row r="166" spans="1:10" s="101" customFormat="1" ht="15" customHeight="1">
      <c r="A166" s="116"/>
      <c r="B166" s="104"/>
      <c r="C166" s="104" t="s">
        <v>728</v>
      </c>
      <c r="D166" s="104"/>
      <c r="E166" s="2" t="s">
        <v>325</v>
      </c>
      <c r="F166" s="189"/>
      <c r="G166" s="1257"/>
      <c r="H166" s="1258"/>
      <c r="I166" s="1259"/>
      <c r="J166" s="127"/>
    </row>
    <row r="167" spans="1:10" s="101" customFormat="1" ht="15" customHeight="1">
      <c r="A167" s="116"/>
      <c r="B167" s="104"/>
      <c r="C167" s="104" t="s">
        <v>729</v>
      </c>
      <c r="D167" s="104"/>
      <c r="E167" s="2" t="s">
        <v>325</v>
      </c>
      <c r="F167" s="189"/>
      <c r="G167" s="1257"/>
      <c r="H167" s="1258"/>
      <c r="I167" s="1259"/>
      <c r="J167" s="127"/>
    </row>
    <row r="168" spans="1:10" ht="15" customHeight="1">
      <c r="A168" s="116"/>
      <c r="B168" s="52"/>
      <c r="C168" s="138"/>
      <c r="D168" s="138"/>
      <c r="E168" s="164"/>
      <c r="F168" s="138"/>
      <c r="G168" s="1257"/>
      <c r="H168" s="1258"/>
      <c r="I168" s="1259"/>
      <c r="J168" s="156"/>
    </row>
    <row r="169" spans="1:10" ht="15.75">
      <c r="A169" s="116">
        <f>A157+1</f>
        <v>25</v>
      </c>
      <c r="B169" s="52" t="s">
        <v>636</v>
      </c>
      <c r="C169" s="138" t="s">
        <v>730</v>
      </c>
      <c r="D169" s="52"/>
      <c r="E169" s="165"/>
      <c r="F169" s="52"/>
      <c r="G169" s="1257"/>
      <c r="H169" s="1258"/>
      <c r="I169" s="1259"/>
      <c r="J169" s="156"/>
    </row>
    <row r="170" spans="1:10" s="101" customFormat="1" ht="15" customHeight="1">
      <c r="A170" s="116"/>
      <c r="B170" s="104"/>
      <c r="C170" s="104" t="s">
        <v>731</v>
      </c>
      <c r="D170" s="104"/>
      <c r="E170" s="2" t="s">
        <v>325</v>
      </c>
      <c r="F170" s="104"/>
      <c r="G170" s="1257"/>
      <c r="H170" s="1258"/>
      <c r="I170" s="1259"/>
      <c r="J170" s="127"/>
    </row>
    <row r="171" spans="1:10" s="101" customFormat="1" ht="15" customHeight="1">
      <c r="A171" s="116"/>
      <c r="B171" s="104"/>
      <c r="C171" s="104" t="s">
        <v>732</v>
      </c>
      <c r="D171" s="104"/>
      <c r="E171" s="2" t="s">
        <v>325</v>
      </c>
      <c r="F171" s="104"/>
      <c r="G171" s="1257"/>
      <c r="H171" s="1258"/>
      <c r="I171" s="1259"/>
      <c r="J171" s="127"/>
    </row>
    <row r="172" spans="1:10" s="101" customFormat="1" ht="15" customHeight="1">
      <c r="A172" s="116"/>
      <c r="B172" s="104"/>
      <c r="C172" s="104" t="s">
        <v>733</v>
      </c>
      <c r="D172" s="104"/>
      <c r="E172" s="2" t="s">
        <v>325</v>
      </c>
      <c r="F172" s="104"/>
      <c r="G172" s="1257"/>
      <c r="H172" s="1258"/>
      <c r="I172" s="1259"/>
      <c r="J172" s="127"/>
    </row>
    <row r="173" spans="1:10" s="101" customFormat="1" ht="15" customHeight="1">
      <c r="A173" s="116"/>
      <c r="B173" s="104"/>
      <c r="C173" s="104" t="s">
        <v>734</v>
      </c>
      <c r="D173" s="104"/>
      <c r="E173" s="2" t="s">
        <v>325</v>
      </c>
      <c r="F173" s="104"/>
      <c r="G173" s="1257"/>
      <c r="H173" s="1258"/>
      <c r="I173" s="1259"/>
      <c r="J173" s="127"/>
    </row>
    <row r="174" spans="1:10" s="101" customFormat="1" ht="15" customHeight="1" thickBot="1">
      <c r="A174" s="116"/>
      <c r="B174" s="104"/>
      <c r="C174" s="104" t="s">
        <v>507</v>
      </c>
      <c r="D174" s="104"/>
      <c r="E174" s="2" t="s">
        <v>325</v>
      </c>
      <c r="F174" s="104"/>
      <c r="G174" s="1260"/>
      <c r="H174" s="1261"/>
      <c r="I174" s="1262"/>
      <c r="J174" s="127"/>
    </row>
    <row r="175" spans="1:10" ht="9.9499999999999993" customHeight="1" thickTop="1">
      <c r="A175" s="161"/>
      <c r="B175" s="52"/>
      <c r="C175" s="138"/>
      <c r="D175" s="138"/>
      <c r="E175" s="164"/>
      <c r="F175" s="138"/>
      <c r="G175" s="138"/>
      <c r="H175" s="138"/>
      <c r="I175" s="138"/>
      <c r="J175" s="156"/>
    </row>
    <row r="176" spans="1:10" ht="15.75">
      <c r="A176" s="161">
        <f>A169+1</f>
        <v>26</v>
      </c>
      <c r="B176" s="52" t="s">
        <v>636</v>
      </c>
      <c r="C176" s="138" t="s">
        <v>735</v>
      </c>
      <c r="D176" s="52"/>
      <c r="E176" s="1185" t="s">
        <v>702</v>
      </c>
      <c r="F176" s="1215"/>
      <c r="G176" s="163">
        <f>IF(E176&lt;&gt;" ",1,0)</f>
        <v>1</v>
      </c>
      <c r="H176" s="52"/>
      <c r="I176" s="52"/>
      <c r="J176" s="156"/>
    </row>
    <row r="177" spans="1:10" s="101" customFormat="1">
      <c r="A177" s="116"/>
      <c r="B177" s="104"/>
      <c r="C177" s="190"/>
      <c r="D177" s="104"/>
      <c r="E177" s="122"/>
      <c r="F177" s="122"/>
      <c r="G177" s="122">
        <f>IF(E177&lt;&gt;" ",1,0)</f>
        <v>0</v>
      </c>
      <c r="H177" s="104"/>
      <c r="I177" s="104"/>
      <c r="J177" s="127"/>
    </row>
    <row r="178" spans="1:10" s="101" customFormat="1">
      <c r="A178" s="116"/>
      <c r="B178" s="104"/>
      <c r="C178" s="104"/>
      <c r="D178" s="104"/>
      <c r="E178" s="122"/>
      <c r="F178" s="122"/>
      <c r="G178" s="122">
        <f>IF(E178&lt;&gt;" ",1,0)</f>
        <v>0</v>
      </c>
      <c r="H178" s="104"/>
      <c r="I178" s="104"/>
      <c r="J178" s="127"/>
    </row>
    <row r="179" spans="1:10" ht="9.9499999999999993" customHeight="1">
      <c r="A179" s="161"/>
      <c r="B179" s="52"/>
      <c r="C179" s="138"/>
      <c r="D179" s="138"/>
      <c r="E179" s="138"/>
      <c r="F179" s="138"/>
      <c r="G179" s="138"/>
      <c r="H179" s="138"/>
      <c r="I179" s="192">
        <f>E180</f>
        <v>0</v>
      </c>
      <c r="J179" s="156"/>
    </row>
    <row r="180" spans="1:10" ht="15.75">
      <c r="A180" s="161">
        <f>A176+1</f>
        <v>27</v>
      </c>
      <c r="B180" s="52" t="s">
        <v>636</v>
      </c>
      <c r="C180" s="138" t="s">
        <v>715</v>
      </c>
      <c r="D180" s="52"/>
      <c r="E180" s="724">
        <f>G180+I180</f>
        <v>0</v>
      </c>
      <c r="F180" s="725" t="s">
        <v>739</v>
      </c>
      <c r="G180" s="726"/>
      <c r="H180" s="725" t="s">
        <v>740</v>
      </c>
      <c r="I180" s="726"/>
      <c r="J180" s="195"/>
    </row>
    <row r="181" spans="1:10" ht="9.9499999999999993" customHeight="1">
      <c r="A181" s="161"/>
      <c r="B181" s="52"/>
      <c r="C181" s="138"/>
      <c r="D181" s="138"/>
      <c r="E181" s="727"/>
      <c r="F181" s="728"/>
      <c r="G181" s="727"/>
      <c r="H181" s="728"/>
      <c r="I181" s="727"/>
      <c r="J181" s="156"/>
    </row>
    <row r="182" spans="1:10" ht="15.75">
      <c r="A182" s="161">
        <f>A180+1</f>
        <v>28</v>
      </c>
      <c r="B182" s="52" t="s">
        <v>636</v>
      </c>
      <c r="C182" s="138" t="s">
        <v>741</v>
      </c>
      <c r="D182" s="52"/>
      <c r="E182" s="729"/>
      <c r="F182" s="725"/>
      <c r="G182" s="729"/>
      <c r="H182" s="725"/>
      <c r="I182" s="729"/>
      <c r="J182" s="106"/>
    </row>
    <row r="183" spans="1:10" s="101" customFormat="1">
      <c r="A183" s="116"/>
      <c r="B183" s="104"/>
      <c r="C183" s="104" t="s">
        <v>744</v>
      </c>
      <c r="D183" s="197" t="s">
        <v>745</v>
      </c>
      <c r="E183" s="519">
        <f>G183+I183</f>
        <v>0</v>
      </c>
      <c r="F183" s="730" t="s">
        <v>739</v>
      </c>
      <c r="G183" s="6"/>
      <c r="H183" s="730" t="s">
        <v>740</v>
      </c>
      <c r="I183" s="6"/>
      <c r="J183" s="127"/>
    </row>
    <row r="184" spans="1:10" s="101" customFormat="1">
      <c r="A184" s="116"/>
      <c r="B184" s="104"/>
      <c r="C184" s="104" t="s">
        <v>746</v>
      </c>
      <c r="D184" s="197" t="s">
        <v>745</v>
      </c>
      <c r="E184" s="519">
        <f>G184+I184</f>
        <v>0</v>
      </c>
      <c r="F184" s="730" t="s">
        <v>739</v>
      </c>
      <c r="G184" s="6"/>
      <c r="H184" s="730" t="s">
        <v>740</v>
      </c>
      <c r="I184" s="6"/>
      <c r="J184" s="127"/>
    </row>
    <row r="185" spans="1:10" ht="8.1" customHeight="1" thickBot="1">
      <c r="A185" s="168"/>
      <c r="B185" s="132"/>
      <c r="C185" s="169"/>
      <c r="D185" s="169"/>
      <c r="E185" s="169"/>
      <c r="F185" s="169"/>
      <c r="G185" s="169"/>
      <c r="H185" s="169"/>
      <c r="I185" s="169"/>
      <c r="J185" s="170"/>
    </row>
    <row r="186" spans="1:10" s="65" customFormat="1" ht="15" customHeight="1">
      <c r="A186" s="64"/>
      <c r="B186" s="136">
        <f>$E$7</f>
        <v>0</v>
      </c>
      <c r="C186" s="67"/>
      <c r="D186" s="64"/>
      <c r="E186" s="64"/>
      <c r="F186" s="137"/>
      <c r="G186" s="137" t="e">
        <f>$G$59</f>
        <v>#VALUE!</v>
      </c>
      <c r="H186" s="1189" t="e">
        <f>$H$59</f>
        <v>#VALUE!</v>
      </c>
      <c r="I186" s="1189"/>
      <c r="J186" s="1189"/>
    </row>
    <row r="187" spans="1:10" s="65" customFormat="1" thickBot="1">
      <c r="A187" s="67" t="s">
        <v>651</v>
      </c>
      <c r="B187" s="67"/>
      <c r="C187" s="67"/>
      <c r="D187" s="64"/>
      <c r="E187" s="64"/>
      <c r="F187" s="64"/>
      <c r="G187" s="64"/>
      <c r="H187" s="64"/>
      <c r="I187" s="67" t="s">
        <v>747</v>
      </c>
      <c r="J187" s="64"/>
    </row>
    <row r="188" spans="1:10" s="85" customFormat="1" ht="11.25">
      <c r="A188" s="198"/>
      <c r="B188" s="199"/>
      <c r="C188" s="199"/>
      <c r="D188" s="199"/>
      <c r="E188" s="199"/>
      <c r="F188" s="199"/>
      <c r="G188" s="199"/>
      <c r="H188" s="199"/>
      <c r="I188" s="199"/>
      <c r="J188" s="200"/>
    </row>
    <row r="189" spans="1:10" ht="15.75" customHeight="1">
      <c r="A189" s="116">
        <f>A182+1</f>
        <v>29</v>
      </c>
      <c r="B189" s="52" t="s">
        <v>636</v>
      </c>
      <c r="C189" s="138" t="s">
        <v>331</v>
      </c>
      <c r="D189" s="138"/>
      <c r="E189" s="138"/>
      <c r="F189" s="138"/>
      <c r="G189" s="138"/>
      <c r="H189" s="1208" t="s">
        <v>1212</v>
      </c>
      <c r="I189" s="1209"/>
      <c r="J189" s="156"/>
    </row>
    <row r="190" spans="1:10" s="65" customFormat="1" ht="13.5">
      <c r="A190" s="123"/>
      <c r="B190" s="64"/>
      <c r="C190" s="237"/>
      <c r="D190" s="64"/>
      <c r="E190" s="64"/>
      <c r="F190" s="64"/>
      <c r="G190" s="64"/>
      <c r="H190" s="64"/>
      <c r="I190" s="64"/>
      <c r="J190" s="93"/>
    </row>
    <row r="191" spans="1:10" s="85" customFormat="1" ht="11.25">
      <c r="A191" s="79"/>
      <c r="B191" s="80"/>
      <c r="C191" s="80"/>
      <c r="D191" s="80"/>
      <c r="E191" s="80"/>
      <c r="F191" s="80"/>
      <c r="G191" s="80"/>
      <c r="H191" s="80"/>
      <c r="I191" s="80"/>
      <c r="J191" s="83"/>
    </row>
    <row r="192" spans="1:10" ht="15.75">
      <c r="A192" s="161">
        <f>A189+1</f>
        <v>30</v>
      </c>
      <c r="B192" s="52" t="s">
        <v>636</v>
      </c>
      <c r="C192" s="138" t="s">
        <v>332</v>
      </c>
      <c r="D192" s="138"/>
      <c r="E192" s="138"/>
      <c r="F192" s="138"/>
      <c r="G192" s="138"/>
      <c r="H192" s="52"/>
      <c r="I192" s="52"/>
      <c r="J192" s="106"/>
    </row>
    <row r="193" spans="1:10" s="101" customFormat="1">
      <c r="A193" s="116"/>
      <c r="B193" s="104"/>
      <c r="C193" s="104" t="s">
        <v>748</v>
      </c>
      <c r="D193" s="104"/>
      <c r="E193" s="104"/>
      <c r="F193" s="104"/>
      <c r="G193" s="104"/>
      <c r="H193" s="104"/>
      <c r="I193" s="104"/>
      <c r="J193" s="127"/>
    </row>
    <row r="194" spans="1:10">
      <c r="A194" s="161"/>
      <c r="B194" s="52"/>
      <c r="C194" s="52"/>
      <c r="D194" s="1190" t="s">
        <v>1212</v>
      </c>
      <c r="E194" s="1191"/>
      <c r="F194" s="1191"/>
      <c r="G194" s="1191"/>
      <c r="H194" s="1191"/>
      <c r="I194" s="1192"/>
      <c r="J194" s="106"/>
    </row>
    <row r="195" spans="1:10">
      <c r="A195" s="161"/>
      <c r="B195" s="52"/>
      <c r="C195" s="52"/>
      <c r="D195" s="1193"/>
      <c r="E195" s="1194"/>
      <c r="F195" s="1194"/>
      <c r="G195" s="1194"/>
      <c r="H195" s="1194"/>
      <c r="I195" s="1195"/>
      <c r="J195" s="106"/>
    </row>
    <row r="196" spans="1:10">
      <c r="A196" s="161"/>
      <c r="B196" s="52"/>
      <c r="C196" s="52"/>
      <c r="D196" s="1196"/>
      <c r="E196" s="1197"/>
      <c r="F196" s="1197"/>
      <c r="G196" s="1197"/>
      <c r="H196" s="1197"/>
      <c r="I196" s="1198"/>
      <c r="J196" s="106"/>
    </row>
    <row r="197" spans="1:10" s="101" customFormat="1">
      <c r="A197" s="116"/>
      <c r="B197" s="104"/>
      <c r="C197" s="104" t="s">
        <v>749</v>
      </c>
      <c r="D197" s="104"/>
      <c r="E197" s="104"/>
      <c r="F197" s="104"/>
      <c r="G197" s="104"/>
      <c r="H197" s="104"/>
      <c r="I197" s="104"/>
      <c r="J197" s="127"/>
    </row>
    <row r="198" spans="1:10">
      <c r="A198" s="161"/>
      <c r="B198" s="52"/>
      <c r="C198" s="52"/>
      <c r="D198" s="1190" t="s">
        <v>1212</v>
      </c>
      <c r="E198" s="1191"/>
      <c r="F198" s="1191"/>
      <c r="G198" s="1191"/>
      <c r="H198" s="1191"/>
      <c r="I198" s="1192"/>
      <c r="J198" s="106"/>
    </row>
    <row r="199" spans="1:10">
      <c r="A199" s="161"/>
      <c r="B199" s="52"/>
      <c r="C199" s="52"/>
      <c r="D199" s="1193"/>
      <c r="E199" s="1194"/>
      <c r="F199" s="1194"/>
      <c r="G199" s="1194"/>
      <c r="H199" s="1194"/>
      <c r="I199" s="1195"/>
      <c r="J199" s="106"/>
    </row>
    <row r="200" spans="1:10">
      <c r="A200" s="161"/>
      <c r="B200" s="52"/>
      <c r="C200" s="52"/>
      <c r="D200" s="1196"/>
      <c r="E200" s="1197"/>
      <c r="F200" s="1197"/>
      <c r="G200" s="1197"/>
      <c r="H200" s="1197"/>
      <c r="I200" s="1198"/>
      <c r="J200" s="106"/>
    </row>
    <row r="201" spans="1:10" s="101" customFormat="1">
      <c r="A201" s="116"/>
      <c r="B201" s="104"/>
      <c r="C201" s="104" t="s">
        <v>750</v>
      </c>
      <c r="D201" s="104"/>
      <c r="E201" s="104"/>
      <c r="F201" s="104"/>
      <c r="G201" s="104"/>
      <c r="H201" s="104"/>
      <c r="I201" s="104"/>
      <c r="J201" s="127"/>
    </row>
    <row r="202" spans="1:10">
      <c r="A202" s="161"/>
      <c r="B202" s="52"/>
      <c r="C202" s="52"/>
      <c r="D202" s="1190" t="s">
        <v>1212</v>
      </c>
      <c r="E202" s="1191"/>
      <c r="F202" s="1191"/>
      <c r="G202" s="1191"/>
      <c r="H202" s="1191"/>
      <c r="I202" s="1192"/>
      <c r="J202" s="106"/>
    </row>
    <row r="203" spans="1:10">
      <c r="A203" s="161"/>
      <c r="B203" s="52"/>
      <c r="C203" s="52"/>
      <c r="D203" s="1193"/>
      <c r="E203" s="1194"/>
      <c r="F203" s="1194"/>
      <c r="G203" s="1194"/>
      <c r="H203" s="1194"/>
      <c r="I203" s="1195"/>
      <c r="J203" s="106"/>
    </row>
    <row r="204" spans="1:10">
      <c r="A204" s="161"/>
      <c r="B204" s="52"/>
      <c r="C204" s="52"/>
      <c r="D204" s="1196"/>
      <c r="E204" s="1197"/>
      <c r="F204" s="1197"/>
      <c r="G204" s="1197"/>
      <c r="H204" s="1197"/>
      <c r="I204" s="1198"/>
      <c r="J204" s="106"/>
    </row>
    <row r="205" spans="1:10" s="85" customFormat="1" ht="11.25">
      <c r="A205" s="79"/>
      <c r="B205" s="80"/>
      <c r="C205" s="202"/>
      <c r="D205" s="80"/>
      <c r="E205" s="80"/>
      <c r="F205" s="80"/>
      <c r="G205" s="80"/>
      <c r="H205" s="80"/>
      <c r="I205" s="80"/>
      <c r="J205" s="83"/>
    </row>
    <row r="206" spans="1:10" ht="15.75">
      <c r="A206" s="161">
        <f>A192+1</f>
        <v>31</v>
      </c>
      <c r="B206" s="52" t="s">
        <v>636</v>
      </c>
      <c r="C206" s="138" t="s">
        <v>751</v>
      </c>
      <c r="D206" s="138"/>
      <c r="E206" s="138"/>
      <c r="F206" s="138"/>
      <c r="G206" s="138"/>
      <c r="H206" s="52"/>
      <c r="I206" s="52"/>
      <c r="J206" s="106"/>
    </row>
    <row r="207" spans="1:10" s="101" customFormat="1">
      <c r="A207" s="116"/>
      <c r="B207" s="104"/>
      <c r="C207" s="104"/>
      <c r="D207" s="104"/>
      <c r="E207" s="104"/>
      <c r="F207" s="104"/>
      <c r="G207" s="104"/>
      <c r="H207" s="115"/>
      <c r="I207" s="203"/>
      <c r="J207" s="127"/>
    </row>
    <row r="208" spans="1:10" s="101" customFormat="1">
      <c r="A208" s="116"/>
      <c r="B208" s="104"/>
      <c r="C208" s="104" t="s">
        <v>756</v>
      </c>
      <c r="D208" s="104"/>
      <c r="E208" s="719" t="s">
        <v>325</v>
      </c>
      <c r="F208" s="800"/>
      <c r="G208" s="232"/>
      <c r="H208" s="232"/>
      <c r="I208" s="104"/>
      <c r="J208" s="106"/>
    </row>
    <row r="209" spans="1:19" s="101" customFormat="1">
      <c r="A209" s="116"/>
      <c r="B209" s="104"/>
      <c r="C209" s="104" t="s">
        <v>757</v>
      </c>
      <c r="D209" s="104"/>
      <c r="E209" s="719" t="s">
        <v>325</v>
      </c>
      <c r="F209" s="800"/>
      <c r="G209" s="104"/>
      <c r="H209" s="235"/>
      <c r="I209" s="104"/>
      <c r="J209" s="106"/>
    </row>
    <row r="210" spans="1:19" s="101" customFormat="1">
      <c r="A210" s="116"/>
      <c r="B210" s="97"/>
      <c r="C210" s="97" t="s">
        <v>758</v>
      </c>
      <c r="D210" s="97"/>
      <c r="E210" s="719" t="s">
        <v>1398</v>
      </c>
      <c r="F210" s="800" t="s">
        <v>1455</v>
      </c>
      <c r="G210" s="104"/>
      <c r="H210" s="235"/>
      <c r="I210" s="104"/>
      <c r="J210" s="106"/>
    </row>
    <row r="211" spans="1:19" s="85" customFormat="1" ht="16.5" thickBot="1">
      <c r="A211" s="204"/>
      <c r="B211" s="205"/>
      <c r="C211" s="206"/>
      <c r="D211" s="207"/>
      <c r="E211" s="205"/>
      <c r="F211" s="205"/>
      <c r="G211" s="205"/>
      <c r="H211" s="205"/>
      <c r="I211" s="205"/>
      <c r="J211" s="208"/>
    </row>
    <row r="212" spans="1:19" s="78" customFormat="1" ht="17.25" thickTop="1" thickBot="1">
      <c r="A212" s="73" t="s">
        <v>46</v>
      </c>
      <c r="B212" s="74"/>
      <c r="C212" s="75"/>
      <c r="D212" s="76"/>
      <c r="E212" s="74"/>
      <c r="F212" s="74"/>
      <c r="G212" s="74"/>
      <c r="H212" s="74"/>
      <c r="I212" s="74"/>
      <c r="J212" s="77"/>
    </row>
    <row r="213" spans="1:19" s="85" customFormat="1" ht="12" thickTop="1">
      <c r="A213" s="79"/>
      <c r="B213" s="80"/>
      <c r="C213" s="80"/>
      <c r="D213" s="80"/>
      <c r="E213" s="80"/>
      <c r="F213" s="80"/>
      <c r="G213" s="80"/>
      <c r="H213" s="80"/>
      <c r="I213" s="80"/>
      <c r="J213" s="83"/>
    </row>
    <row r="214" spans="1:19" ht="15.75">
      <c r="A214" s="161"/>
      <c r="B214" s="52"/>
      <c r="C214" s="138"/>
      <c r="D214" s="138"/>
      <c r="E214" s="139" t="s">
        <v>759</v>
      </c>
      <c r="F214" s="139"/>
      <c r="G214" s="176" t="s">
        <v>760</v>
      </c>
      <c r="H214" s="138"/>
      <c r="I214" s="138"/>
      <c r="J214" s="156"/>
    </row>
    <row r="215" spans="1:19" ht="15.75">
      <c r="A215" s="161">
        <f>A206+1</f>
        <v>32</v>
      </c>
      <c r="B215" s="52" t="s">
        <v>636</v>
      </c>
      <c r="C215" s="138" t="s">
        <v>761</v>
      </c>
      <c r="D215" s="138"/>
      <c r="E215" s="9"/>
      <c r="F215" s="138"/>
      <c r="G215" s="739" t="str">
        <f>IF(E215&gt;0,E215/43560," ")</f>
        <v xml:space="preserve"> </v>
      </c>
      <c r="H215" s="138"/>
      <c r="I215" s="138"/>
      <c r="J215" s="156"/>
    </row>
    <row r="216" spans="1:19" ht="15.75">
      <c r="A216" s="161">
        <f>A215+1</f>
        <v>33</v>
      </c>
      <c r="B216" s="52" t="s">
        <v>636</v>
      </c>
      <c r="C216" s="138" t="s">
        <v>762</v>
      </c>
      <c r="D216" s="138"/>
      <c r="E216" s="9"/>
      <c r="F216" s="138"/>
      <c r="G216" s="720" t="str">
        <f>IF(E216&gt;0,E216/43560," ")</f>
        <v xml:space="preserve"> </v>
      </c>
      <c r="H216" s="192" t="str">
        <f>IF(G216&gt;0,G216*43560," ")</f>
        <v xml:space="preserve"> </v>
      </c>
      <c r="I216" s="138"/>
      <c r="J216" s="156"/>
    </row>
    <row r="217" spans="1:19" ht="15.75">
      <c r="A217" s="161">
        <f>A216+1</f>
        <v>34</v>
      </c>
      <c r="B217" s="52" t="s">
        <v>636</v>
      </c>
      <c r="C217" s="138" t="s">
        <v>763</v>
      </c>
      <c r="D217" s="138"/>
      <c r="E217" s="9"/>
      <c r="F217" s="138"/>
      <c r="G217" s="720" t="str">
        <f>IF(E217&gt;0,E217/43560," ")</f>
        <v xml:space="preserve"> </v>
      </c>
      <c r="H217" s="192" t="str">
        <f>IF(G217&gt;0,G217*43560," ")</f>
        <v xml:space="preserve"> </v>
      </c>
      <c r="I217" s="162"/>
      <c r="J217" s="156"/>
    </row>
    <row r="218" spans="1:19" s="85" customFormat="1" ht="11.25">
      <c r="A218" s="79"/>
      <c r="B218" s="80"/>
      <c r="C218" s="80"/>
      <c r="D218" s="80"/>
      <c r="E218" s="80"/>
      <c r="F218" s="80"/>
      <c r="G218" s="80"/>
      <c r="H218" s="80"/>
      <c r="I218" s="80"/>
      <c r="J218" s="83"/>
      <c r="K218" s="103"/>
      <c r="L218" s="103"/>
      <c r="M218" s="103"/>
      <c r="N218" s="103"/>
      <c r="O218" s="103"/>
      <c r="P218" s="103"/>
      <c r="Q218" s="103"/>
      <c r="R218" s="103"/>
      <c r="S218" s="103"/>
    </row>
    <row r="219" spans="1:19" ht="15.75">
      <c r="A219" s="161"/>
      <c r="B219" s="52"/>
      <c r="C219" s="144" t="s">
        <v>764</v>
      </c>
      <c r="D219" s="138"/>
      <c r="E219" s="138"/>
      <c r="F219" s="138"/>
      <c r="G219" s="138"/>
      <c r="H219" s="138"/>
      <c r="I219" s="162"/>
      <c r="J219" s="156"/>
    </row>
    <row r="220" spans="1:19" ht="15.75">
      <c r="A220" s="161">
        <f>A217+1</f>
        <v>35</v>
      </c>
      <c r="B220" s="52" t="s">
        <v>636</v>
      </c>
      <c r="C220" s="138" t="s">
        <v>765</v>
      </c>
      <c r="D220" s="138"/>
      <c r="E220" s="138"/>
      <c r="F220" s="1250"/>
      <c r="G220" s="1251"/>
      <c r="H220" s="1251"/>
      <c r="I220" s="1252"/>
      <c r="J220" s="156"/>
    </row>
    <row r="221" spans="1:19" ht="15.75">
      <c r="A221" s="161">
        <f>A220+1</f>
        <v>36</v>
      </c>
      <c r="B221" s="52" t="s">
        <v>636</v>
      </c>
      <c r="C221" s="138" t="s">
        <v>766</v>
      </c>
      <c r="D221" s="138"/>
      <c r="E221" s="138"/>
      <c r="F221" s="774"/>
      <c r="G221" s="138"/>
      <c r="H221" s="138"/>
      <c r="I221" s="162"/>
      <c r="J221" s="156"/>
    </row>
    <row r="222" spans="1:19" ht="15.75">
      <c r="A222" s="161">
        <f>A221+1</f>
        <v>37</v>
      </c>
      <c r="B222" s="52" t="s">
        <v>636</v>
      </c>
      <c r="C222" s="138" t="s">
        <v>767</v>
      </c>
      <c r="D222" s="138"/>
      <c r="E222" s="138"/>
      <c r="F222" s="773">
        <f>E140+E141</f>
        <v>0</v>
      </c>
      <c r="G222" s="138"/>
      <c r="H222" s="138"/>
      <c r="I222" s="162"/>
      <c r="J222" s="156"/>
    </row>
    <row r="223" spans="1:19" ht="15.75">
      <c r="A223" s="161">
        <f>A222+1</f>
        <v>38</v>
      </c>
      <c r="B223" s="52" t="s">
        <v>636</v>
      </c>
      <c r="C223" s="138" t="s">
        <v>768</v>
      </c>
      <c r="D223" s="138"/>
      <c r="E223" s="138"/>
      <c r="F223" s="138"/>
      <c r="G223" s="775" t="s">
        <v>1456</v>
      </c>
      <c r="H223" s="775" t="s">
        <v>1457</v>
      </c>
      <c r="I223" s="162"/>
      <c r="J223" s="156"/>
    </row>
    <row r="224" spans="1:19" s="101" customFormat="1" ht="15.75" customHeight="1">
      <c r="A224" s="116"/>
      <c r="B224" s="104"/>
      <c r="C224" s="104" t="s">
        <v>769</v>
      </c>
      <c r="D224" s="104"/>
      <c r="E224" s="104"/>
      <c r="F224" s="104"/>
      <c r="G224" s="879"/>
      <c r="H224" s="879"/>
      <c r="I224" s="104"/>
      <c r="J224" s="127"/>
    </row>
    <row r="225" spans="1:10" s="101" customFormat="1" ht="15.75" customHeight="1">
      <c r="A225" s="116"/>
      <c r="B225" s="104"/>
      <c r="C225" s="104" t="s">
        <v>770</v>
      </c>
      <c r="D225" s="104"/>
      <c r="E225" s="104"/>
      <c r="F225" s="104"/>
      <c r="G225" s="879"/>
      <c r="H225" s="879"/>
      <c r="I225" s="104"/>
      <c r="J225" s="127"/>
    </row>
    <row r="226" spans="1:10" ht="15.75">
      <c r="A226" s="161">
        <f>A223+1</f>
        <v>39</v>
      </c>
      <c r="B226" s="52" t="s">
        <v>636</v>
      </c>
      <c r="C226" s="138" t="s">
        <v>771</v>
      </c>
      <c r="D226" s="138"/>
      <c r="E226" s="138"/>
      <c r="F226" s="138"/>
      <c r="G226" s="138"/>
      <c r="H226" s="138"/>
      <c r="I226" s="138"/>
      <c r="J226" s="156"/>
    </row>
    <row r="227" spans="1:10" s="101" customFormat="1" ht="15.75" customHeight="1">
      <c r="A227" s="116"/>
      <c r="B227" s="104"/>
      <c r="C227" s="104" t="s">
        <v>772</v>
      </c>
      <c r="D227" s="104"/>
      <c r="E227" s="104"/>
      <c r="F227" s="104"/>
      <c r="G227" s="879"/>
      <c r="H227" s="104" t="s">
        <v>773</v>
      </c>
      <c r="I227" s="104"/>
      <c r="J227" s="127"/>
    </row>
    <row r="228" spans="1:10" s="101" customFormat="1" ht="15.75" customHeight="1">
      <c r="A228" s="116"/>
      <c r="B228" s="104"/>
      <c r="C228" s="104" t="s">
        <v>774</v>
      </c>
      <c r="D228" s="104"/>
      <c r="E228" s="104"/>
      <c r="F228" s="104"/>
      <c r="G228" s="879"/>
      <c r="H228" s="104" t="s">
        <v>773</v>
      </c>
      <c r="I228" s="104"/>
      <c r="J228" s="127"/>
    </row>
    <row r="229" spans="1:10" ht="15.75">
      <c r="A229" s="161">
        <f>A226+1</f>
        <v>40</v>
      </c>
      <c r="B229" s="52" t="s">
        <v>636</v>
      </c>
      <c r="C229" s="138" t="s">
        <v>775</v>
      </c>
      <c r="D229" s="138"/>
      <c r="E229" s="138"/>
      <c r="F229" s="1199"/>
      <c r="G229" s="1200"/>
      <c r="H229" s="1200"/>
      <c r="I229" s="1201"/>
      <c r="J229" s="156"/>
    </row>
    <row r="230" spans="1:10" ht="15.75">
      <c r="A230" s="161"/>
      <c r="B230" s="52"/>
      <c r="C230" s="138"/>
      <c r="D230" s="138"/>
      <c r="E230" s="138"/>
      <c r="F230" s="1202"/>
      <c r="G230" s="1203"/>
      <c r="H230" s="1203"/>
      <c r="I230" s="1204"/>
      <c r="J230" s="156"/>
    </row>
    <row r="231" spans="1:10" s="85" customFormat="1" ht="11.25">
      <c r="A231" s="79"/>
      <c r="B231" s="80"/>
      <c r="C231" s="80"/>
      <c r="D231" s="80"/>
      <c r="E231" s="80"/>
      <c r="F231" s="1205"/>
      <c r="G231" s="1206"/>
      <c r="H231" s="1206"/>
      <c r="I231" s="1207"/>
      <c r="J231" s="83"/>
    </row>
    <row r="232" spans="1:10" ht="15.75">
      <c r="A232" s="161"/>
      <c r="B232" s="52"/>
      <c r="C232" s="144" t="s">
        <v>776</v>
      </c>
      <c r="D232" s="138"/>
      <c r="E232" s="138"/>
      <c r="F232" s="138"/>
      <c r="G232" s="138"/>
      <c r="H232" s="138"/>
      <c r="I232" s="138"/>
      <c r="J232" s="156"/>
    </row>
    <row r="233" spans="1:10" ht="15.75">
      <c r="A233" s="161">
        <f>A229+1</f>
        <v>41</v>
      </c>
      <c r="B233" s="52" t="s">
        <v>636</v>
      </c>
      <c r="C233" s="138" t="s">
        <v>362</v>
      </c>
      <c r="D233" s="138"/>
      <c r="E233" s="138"/>
      <c r="F233" s="138"/>
      <c r="G233" s="138"/>
      <c r="H233" s="138"/>
      <c r="I233" s="138"/>
      <c r="J233" s="156"/>
    </row>
    <row r="234" spans="1:10" s="101" customFormat="1">
      <c r="A234" s="116"/>
      <c r="B234" s="104"/>
      <c r="C234" s="104" t="s">
        <v>1458</v>
      </c>
      <c r="D234" s="2" t="s">
        <v>325</v>
      </c>
      <c r="E234" s="1187" t="s">
        <v>1195</v>
      </c>
      <c r="F234" s="1188"/>
      <c r="G234" s="709"/>
      <c r="H234" s="80"/>
      <c r="I234" s="122">
        <f>IF(D234="yes",1,0)</f>
        <v>0</v>
      </c>
      <c r="J234" s="127"/>
    </row>
    <row r="235" spans="1:10" s="101" customFormat="1">
      <c r="A235" s="116"/>
      <c r="B235" s="104"/>
      <c r="C235" s="104" t="s">
        <v>777</v>
      </c>
      <c r="D235" s="3" t="s">
        <v>325</v>
      </c>
      <c r="E235" s="1187" t="s">
        <v>1195</v>
      </c>
      <c r="F235" s="1188"/>
      <c r="G235" s="709"/>
      <c r="H235" s="80"/>
      <c r="I235" s="122">
        <f>IF(D235="yes",1,0)</f>
        <v>0</v>
      </c>
      <c r="J235" s="127"/>
    </row>
    <row r="236" spans="1:10" s="101" customFormat="1">
      <c r="A236" s="116"/>
      <c r="B236" s="104"/>
      <c r="C236" s="104" t="s">
        <v>778</v>
      </c>
      <c r="D236" s="3" t="s">
        <v>325</v>
      </c>
      <c r="E236" s="1187" t="s">
        <v>1195</v>
      </c>
      <c r="F236" s="1188"/>
      <c r="G236" s="709"/>
      <c r="H236" s="80"/>
      <c r="I236" s="122">
        <f>IF(D236="yes",1,0)</f>
        <v>0</v>
      </c>
      <c r="J236" s="127"/>
    </row>
    <row r="237" spans="1:10" s="101" customFormat="1">
      <c r="A237" s="116"/>
      <c r="B237" s="104"/>
      <c r="C237" s="104" t="s">
        <v>779</v>
      </c>
      <c r="D237" s="3" t="s">
        <v>325</v>
      </c>
      <c r="E237" s="1187" t="s">
        <v>1195</v>
      </c>
      <c r="F237" s="1188"/>
      <c r="G237" s="709"/>
      <c r="H237" s="80"/>
      <c r="I237" s="122">
        <f>IF(D237="yes",1,0)</f>
        <v>0</v>
      </c>
      <c r="J237" s="127"/>
    </row>
    <row r="238" spans="1:10" s="101" customFormat="1">
      <c r="A238" s="116"/>
      <c r="B238" s="104"/>
      <c r="C238" s="104" t="s">
        <v>780</v>
      </c>
      <c r="D238" s="3" t="s">
        <v>325</v>
      </c>
      <c r="E238" s="1187" t="s">
        <v>1195</v>
      </c>
      <c r="F238" s="1188"/>
      <c r="G238" s="709"/>
      <c r="H238" s="80"/>
      <c r="I238" s="122">
        <f>IF(D238="yes",1,0)</f>
        <v>0</v>
      </c>
      <c r="J238" s="127"/>
    </row>
    <row r="239" spans="1:10" s="101" customFormat="1">
      <c r="A239" s="116"/>
      <c r="B239" s="104"/>
      <c r="C239" s="104" t="s">
        <v>381</v>
      </c>
      <c r="D239" s="189"/>
      <c r="E239" s="104"/>
      <c r="F239" s="104"/>
      <c r="G239" s="104"/>
      <c r="H239" s="104"/>
      <c r="I239" s="104"/>
      <c r="J239" s="127"/>
    </row>
    <row r="240" spans="1:10" s="101" customFormat="1">
      <c r="A240" s="116"/>
      <c r="B240" s="104"/>
      <c r="C240" s="104" t="s">
        <v>781</v>
      </c>
      <c r="D240" s="2"/>
      <c r="E240" s="104"/>
      <c r="F240" s="115"/>
      <c r="G240" s="115"/>
      <c r="H240" s="52"/>
      <c r="I240" s="52"/>
      <c r="J240" s="106"/>
    </row>
    <row r="241" spans="1:17" s="85" customFormat="1" ht="11.25">
      <c r="A241" s="79"/>
      <c r="B241" s="80"/>
      <c r="C241" s="80"/>
      <c r="D241" s="80"/>
      <c r="E241" s="80"/>
      <c r="F241" s="80"/>
      <c r="G241" s="80"/>
      <c r="H241" s="80"/>
      <c r="I241" s="80"/>
      <c r="J241" s="83"/>
    </row>
    <row r="242" spans="1:17" s="85" customFormat="1" ht="14.25" thickBot="1">
      <c r="A242" s="209"/>
      <c r="B242" s="133"/>
      <c r="C242" s="236"/>
      <c r="D242" s="133"/>
      <c r="E242" s="133"/>
      <c r="F242" s="133"/>
      <c r="G242" s="133"/>
      <c r="H242" s="133"/>
      <c r="I242" s="133"/>
      <c r="J242" s="135"/>
    </row>
    <row r="243" spans="1:17" s="65" customFormat="1" ht="12">
      <c r="A243" s="64"/>
      <c r="B243" s="136">
        <f>$E$7</f>
        <v>0</v>
      </c>
      <c r="C243" s="67"/>
      <c r="D243" s="64"/>
      <c r="E243" s="64"/>
      <c r="F243" s="137"/>
      <c r="G243" s="137" t="e">
        <f>$G$59</f>
        <v>#VALUE!</v>
      </c>
      <c r="H243" s="1189" t="e">
        <f>$H$59</f>
        <v>#VALUE!</v>
      </c>
      <c r="I243" s="1189"/>
      <c r="J243" s="1189"/>
    </row>
    <row r="244" spans="1:17" s="65" customFormat="1" thickBot="1">
      <c r="A244" s="67" t="s">
        <v>651</v>
      </c>
      <c r="B244" s="64"/>
      <c r="C244" s="67"/>
      <c r="D244" s="64"/>
      <c r="E244" s="64"/>
      <c r="F244" s="64"/>
      <c r="G244" s="64"/>
      <c r="H244" s="64"/>
      <c r="I244" s="67" t="s">
        <v>782</v>
      </c>
      <c r="J244" s="64"/>
    </row>
    <row r="245" spans="1:17" s="85" customFormat="1" ht="11.25">
      <c r="A245" s="198"/>
      <c r="B245" s="199"/>
      <c r="C245" s="199"/>
      <c r="D245" s="199"/>
      <c r="E245" s="199"/>
      <c r="F245" s="199"/>
      <c r="G245" s="199"/>
      <c r="H245" s="199"/>
      <c r="I245" s="199"/>
      <c r="J245" s="200"/>
    </row>
    <row r="246" spans="1:17" ht="15.75">
      <c r="A246" s="161"/>
      <c r="B246" s="52"/>
      <c r="C246" s="144" t="s">
        <v>783</v>
      </c>
      <c r="D246" s="138"/>
      <c r="E246" s="138"/>
      <c r="F246" s="138"/>
      <c r="G246" s="138"/>
      <c r="H246" s="138"/>
      <c r="I246" s="138"/>
      <c r="J246" s="156"/>
    </row>
    <row r="247" spans="1:17" ht="15.75">
      <c r="A247" s="161"/>
      <c r="B247" s="52"/>
      <c r="C247" s="1216" t="s">
        <v>468</v>
      </c>
      <c r="D247" s="1216"/>
      <c r="E247" s="1216"/>
      <c r="F247" s="1216"/>
      <c r="G247" s="1216"/>
      <c r="H247" s="1216"/>
      <c r="I247" s="1216"/>
      <c r="J247" s="156"/>
    </row>
    <row r="248" spans="1:17" ht="15.75">
      <c r="A248" s="161"/>
      <c r="B248" s="52"/>
      <c r="C248" s="1216"/>
      <c r="D248" s="1216"/>
      <c r="E248" s="1216"/>
      <c r="F248" s="1216"/>
      <c r="G248" s="1216"/>
      <c r="H248" s="1216"/>
      <c r="I248" s="1216"/>
      <c r="J248" s="156"/>
    </row>
    <row r="249" spans="1:17" ht="15.75">
      <c r="A249" s="161"/>
      <c r="B249" s="52"/>
      <c r="C249" s="1216"/>
      <c r="D249" s="1216"/>
      <c r="E249" s="1216"/>
      <c r="F249" s="1216"/>
      <c r="G249" s="1216"/>
      <c r="H249" s="1216"/>
      <c r="I249" s="1216"/>
      <c r="J249" s="156"/>
    </row>
    <row r="250" spans="1:17">
      <c r="A250" s="161"/>
      <c r="B250" s="250"/>
      <c r="C250" s="250"/>
      <c r="D250" s="250"/>
      <c r="E250" s="250"/>
      <c r="F250" s="250"/>
      <c r="G250" s="250"/>
      <c r="H250" s="250"/>
      <c r="I250" s="52"/>
      <c r="J250" s="106"/>
    </row>
    <row r="251" spans="1:17" s="101" customFormat="1" ht="15.75">
      <c r="A251" s="161">
        <f>A233+1</f>
        <v>42</v>
      </c>
      <c r="B251" s="52" t="s">
        <v>636</v>
      </c>
      <c r="C251" s="138" t="s">
        <v>467</v>
      </c>
      <c r="D251" s="138"/>
      <c r="E251" s="138"/>
      <c r="F251" s="138"/>
      <c r="G251" s="138"/>
      <c r="H251" s="836" t="s">
        <v>325</v>
      </c>
      <c r="I251" s="115"/>
      <c r="J251" s="106"/>
    </row>
    <row r="252" spans="1:17" s="101" customFormat="1" ht="13.5">
      <c r="A252" s="116"/>
      <c r="B252" s="104"/>
      <c r="C252" s="237"/>
      <c r="D252" s="115"/>
      <c r="E252" s="115"/>
      <c r="F252" s="115"/>
      <c r="G252" s="115"/>
      <c r="H252" s="210"/>
      <c r="I252" s="115"/>
      <c r="J252" s="106"/>
    </row>
    <row r="253" spans="1:17" ht="15.75">
      <c r="A253" s="161"/>
      <c r="B253" s="52"/>
      <c r="C253" s="138"/>
      <c r="D253" s="138"/>
      <c r="E253" s="138"/>
      <c r="F253" s="138"/>
      <c r="G253" s="138"/>
      <c r="H253" s="164"/>
      <c r="I253" s="138"/>
      <c r="J253" s="156"/>
    </row>
    <row r="254" spans="1:17" s="84" customFormat="1" ht="15.75">
      <c r="A254" s="86">
        <f>A251+1</f>
        <v>43</v>
      </c>
      <c r="B254" s="87" t="s">
        <v>636</v>
      </c>
      <c r="C254" s="239" t="s">
        <v>469</v>
      </c>
      <c r="D254" s="87"/>
      <c r="E254" s="87"/>
      <c r="F254" s="87"/>
      <c r="G254" s="87"/>
      <c r="H254"/>
      <c r="I254" s="836" t="s">
        <v>325</v>
      </c>
      <c r="J254" s="89"/>
      <c r="K254" s="103"/>
      <c r="L254" s="103"/>
      <c r="M254" s="103"/>
      <c r="N254" s="103"/>
      <c r="O254" s="103"/>
      <c r="P254" s="103"/>
      <c r="Q254" s="103"/>
    </row>
    <row r="255" spans="1:17" ht="15.75">
      <c r="A255" s="161"/>
      <c r="B255" s="52"/>
      <c r="C255" s="238"/>
      <c r="D255" s="138"/>
      <c r="E255" s="138"/>
      <c r="F255" s="138"/>
      <c r="G255" s="138"/>
      <c r="J255" s="156"/>
    </row>
    <row r="256" spans="1:17" s="101" customFormat="1" ht="13.5">
      <c r="A256" s="116"/>
      <c r="B256" s="104"/>
      <c r="C256" s="237"/>
      <c r="D256" s="52"/>
      <c r="E256" s="52"/>
      <c r="F256" s="52"/>
      <c r="G256" s="52"/>
      <c r="H256" s="165"/>
      <c r="I256" s="52"/>
      <c r="J256" s="106"/>
      <c r="K256" s="103"/>
      <c r="L256" s="103"/>
      <c r="M256" s="103"/>
      <c r="N256" s="103"/>
      <c r="O256" s="103"/>
      <c r="P256" s="103"/>
      <c r="Q256" s="103"/>
    </row>
    <row r="257" spans="1:18" s="101" customFormat="1" ht="13.5">
      <c r="A257" s="116"/>
      <c r="B257" s="104"/>
      <c r="C257" s="237"/>
      <c r="D257" s="52"/>
      <c r="E257" s="52"/>
      <c r="F257" s="52"/>
      <c r="G257" s="52"/>
      <c r="H257" s="165"/>
      <c r="I257" s="52"/>
      <c r="J257" s="106"/>
    </row>
    <row r="258" spans="1:18" ht="15.75">
      <c r="A258" s="161"/>
      <c r="B258" s="52"/>
      <c r="C258" s="138"/>
      <c r="D258" s="138"/>
      <c r="E258" s="138"/>
      <c r="F258" s="138"/>
      <c r="G258" s="138"/>
      <c r="H258" s="164"/>
      <c r="I258" s="138"/>
      <c r="J258" s="156"/>
    </row>
    <row r="259" spans="1:18" ht="15.75">
      <c r="A259" s="161">
        <f>A254+1</f>
        <v>44</v>
      </c>
      <c r="B259" s="52" t="s">
        <v>636</v>
      </c>
      <c r="C259" s="211" t="s">
        <v>470</v>
      </c>
      <c r="D259" s="138"/>
      <c r="E259" s="138"/>
      <c r="F259" s="138"/>
      <c r="G259" s="138"/>
      <c r="H259" s="8" t="s">
        <v>325</v>
      </c>
      <c r="I259" s="52"/>
      <c r="J259" s="156"/>
    </row>
    <row r="260" spans="1:18" s="101" customFormat="1" ht="13.5">
      <c r="A260" s="116"/>
      <c r="B260" s="104"/>
      <c r="C260" s="237"/>
      <c r="D260" s="52"/>
      <c r="E260" s="52"/>
      <c r="F260" s="52"/>
      <c r="G260" s="52"/>
      <c r="H260" s="52"/>
      <c r="I260" s="52"/>
      <c r="J260" s="106"/>
    </row>
    <row r="261" spans="1:18" s="101" customFormat="1" ht="13.5">
      <c r="A261" s="116"/>
      <c r="B261" s="104"/>
      <c r="C261" s="237"/>
      <c r="D261" s="52"/>
      <c r="E261" s="52"/>
      <c r="F261" s="52"/>
      <c r="G261" s="52"/>
      <c r="H261" s="52"/>
      <c r="I261" s="52"/>
      <c r="J261" s="106"/>
    </row>
    <row r="262" spans="1:18" ht="15.75">
      <c r="A262" s="161"/>
      <c r="B262" s="52"/>
      <c r="C262" s="138"/>
      <c r="D262" s="138"/>
      <c r="E262" s="138"/>
      <c r="F262" s="138"/>
      <c r="G262" s="138"/>
      <c r="H262" s="138"/>
      <c r="I262" s="138"/>
      <c r="J262" s="156"/>
    </row>
    <row r="263" spans="1:18" ht="15.75">
      <c r="A263" s="161"/>
      <c r="B263" s="52"/>
      <c r="C263" s="144" t="s">
        <v>784</v>
      </c>
      <c r="D263" s="138"/>
      <c r="E263" s="192">
        <f>IF(E264&lt;&gt;" ",1,0)</f>
        <v>0</v>
      </c>
      <c r="F263" s="138"/>
      <c r="G263" s="138"/>
      <c r="H263" s="138"/>
      <c r="I263" s="138"/>
      <c r="J263" s="156"/>
    </row>
    <row r="264" spans="1:18" s="101" customFormat="1" ht="15.75" customHeight="1">
      <c r="A264" s="116">
        <f>A259+1</f>
        <v>45</v>
      </c>
      <c r="B264" s="52" t="s">
        <v>636</v>
      </c>
      <c r="C264" s="211" t="s">
        <v>333</v>
      </c>
      <c r="D264" s="104"/>
      <c r="E264" s="138"/>
      <c r="F264" s="1210" t="s">
        <v>702</v>
      </c>
      <c r="G264" s="1211"/>
      <c r="H264" s="1212"/>
      <c r="I264" s="138"/>
      <c r="J264" s="127"/>
    </row>
    <row r="265" spans="1:18" s="101" customFormat="1">
      <c r="A265" s="116"/>
      <c r="B265" s="104"/>
      <c r="C265" s="104"/>
      <c r="D265" s="104"/>
      <c r="E265" s="122">
        <f>IF(F265&lt;&gt;" ",1,0)</f>
        <v>0</v>
      </c>
      <c r="F265" s="52"/>
      <c r="G265" s="52"/>
      <c r="H265" s="165"/>
      <c r="I265" s="52"/>
      <c r="J265" s="127"/>
    </row>
    <row r="266" spans="1:18" s="101" customFormat="1" ht="13.5">
      <c r="A266" s="116"/>
      <c r="B266" s="104"/>
      <c r="C266" s="201" t="s">
        <v>356</v>
      </c>
      <c r="D266" s="52"/>
      <c r="E266" s="52"/>
      <c r="F266" s="52"/>
      <c r="G266" s="52"/>
      <c r="H266" s="165"/>
      <c r="I266" s="52"/>
      <c r="J266" s="106"/>
    </row>
    <row r="267" spans="1:18" ht="15.75">
      <c r="A267" s="161"/>
      <c r="B267" s="52"/>
      <c r="C267" s="138"/>
      <c r="D267" s="138"/>
      <c r="E267" s="138"/>
      <c r="F267" s="138"/>
      <c r="G267" s="138"/>
      <c r="H267" s="138"/>
      <c r="I267" s="138"/>
      <c r="J267" s="156"/>
    </row>
    <row r="268" spans="1:18" ht="15.75">
      <c r="A268" s="161">
        <f>A264+1</f>
        <v>46</v>
      </c>
      <c r="B268" s="52" t="s">
        <v>636</v>
      </c>
      <c r="C268" s="138" t="s">
        <v>528</v>
      </c>
      <c r="D268" s="138"/>
      <c r="E268" s="138"/>
      <c r="F268" s="138"/>
      <c r="G268" s="138"/>
      <c r="H268" s="138"/>
      <c r="I268" s="138"/>
      <c r="J268" s="156"/>
    </row>
    <row r="269" spans="1:18" s="101" customFormat="1">
      <c r="A269" s="116"/>
      <c r="B269" s="104"/>
      <c r="C269" s="104" t="s">
        <v>1342</v>
      </c>
      <c r="D269" s="104"/>
      <c r="E269" s="1213"/>
      <c r="F269" s="1214"/>
      <c r="G269" s="1214"/>
      <c r="H269" s="1214"/>
      <c r="I269" s="1215"/>
      <c r="J269" s="127"/>
      <c r="K269" s="103"/>
      <c r="L269" s="103"/>
      <c r="M269" s="103"/>
      <c r="N269" s="103"/>
      <c r="O269" s="103"/>
      <c r="P269" s="103"/>
      <c r="Q269" s="103"/>
      <c r="R269" s="103"/>
    </row>
    <row r="270" spans="1:18" s="101" customFormat="1">
      <c r="A270" s="116"/>
      <c r="B270" s="104"/>
      <c r="C270" s="104" t="s">
        <v>1341</v>
      </c>
      <c r="D270" s="104"/>
      <c r="E270" s="1213"/>
      <c r="F270" s="1214"/>
      <c r="G270" s="1214"/>
      <c r="H270" s="1214"/>
      <c r="I270" s="1215"/>
      <c r="J270" s="127"/>
      <c r="K270" s="103"/>
      <c r="L270" s="103"/>
      <c r="M270" s="103"/>
      <c r="N270" s="103"/>
      <c r="O270" s="103"/>
      <c r="P270" s="103"/>
      <c r="Q270" s="103"/>
      <c r="R270" s="103"/>
    </row>
    <row r="271" spans="1:18" s="101" customFormat="1">
      <c r="A271" s="116"/>
      <c r="B271" s="104"/>
      <c r="C271" s="104" t="s">
        <v>1340</v>
      </c>
      <c r="D271" s="104"/>
      <c r="E271" s="1213"/>
      <c r="F271" s="1214"/>
      <c r="G271" s="1214"/>
      <c r="H271" s="1214"/>
      <c r="I271" s="1215"/>
      <c r="J271" s="127"/>
      <c r="K271" s="103"/>
      <c r="L271" s="103"/>
      <c r="M271" s="103"/>
      <c r="N271" s="103"/>
      <c r="O271" s="103"/>
      <c r="P271" s="103"/>
      <c r="Q271" s="103"/>
      <c r="R271" s="103"/>
    </row>
    <row r="272" spans="1:18" s="101" customFormat="1">
      <c r="A272" s="116"/>
      <c r="B272" s="104"/>
      <c r="C272" s="104" t="s">
        <v>1339</v>
      </c>
      <c r="D272" s="104"/>
      <c r="E272" s="721"/>
      <c r="F272" s="104"/>
      <c r="G272" s="104"/>
      <c r="H272" s="104"/>
      <c r="I272" s="104"/>
      <c r="J272" s="127"/>
      <c r="K272" s="103"/>
    </row>
    <row r="273" spans="1:11" s="101" customFormat="1">
      <c r="A273" s="116"/>
      <c r="B273" s="104"/>
      <c r="C273" s="104" t="s">
        <v>1338</v>
      </c>
      <c r="D273" s="104"/>
      <c r="E273" s="721"/>
      <c r="F273" s="104"/>
      <c r="G273" s="104"/>
      <c r="H273" s="104"/>
      <c r="I273" s="104"/>
      <c r="J273" s="127"/>
      <c r="K273" s="103"/>
    </row>
    <row r="274" spans="1:11" s="101" customFormat="1" ht="15" customHeight="1">
      <c r="A274" s="116"/>
      <c r="B274" s="104"/>
      <c r="C274" s="190" t="s">
        <v>1337</v>
      </c>
      <c r="D274" s="104"/>
      <c r="E274" s="13"/>
      <c r="F274" s="104"/>
      <c r="G274" s="104"/>
      <c r="H274" s="104"/>
      <c r="I274" s="104"/>
      <c r="J274" s="127"/>
    </row>
    <row r="275" spans="1:11" s="101" customFormat="1" ht="14.25" customHeight="1">
      <c r="A275" s="116"/>
      <c r="B275" s="104"/>
      <c r="C275" s="104" t="s">
        <v>337</v>
      </c>
      <c r="D275" s="104"/>
      <c r="E275" s="104"/>
      <c r="F275" s="104"/>
      <c r="G275" s="104"/>
      <c r="H275" s="240"/>
      <c r="I275" s="97"/>
      <c r="J275" s="127"/>
    </row>
    <row r="276" spans="1:11" ht="15.75">
      <c r="A276" s="161"/>
      <c r="B276" s="52"/>
      <c r="C276" s="138"/>
      <c r="D276" s="138"/>
      <c r="E276" s="138"/>
      <c r="F276" s="138"/>
      <c r="G276" s="138"/>
      <c r="H276" s="138"/>
      <c r="I276" s="138"/>
      <c r="J276" s="156"/>
    </row>
    <row r="277" spans="1:11" s="84" customFormat="1" ht="15">
      <c r="A277" s="86">
        <f>A268+1</f>
        <v>47</v>
      </c>
      <c r="B277" s="52" t="s">
        <v>636</v>
      </c>
      <c r="C277" s="87" t="s">
        <v>335</v>
      </c>
      <c r="D277" s="87"/>
      <c r="E277" s="87"/>
      <c r="F277" s="87"/>
      <c r="G277" s="87"/>
      <c r="H277" s="87"/>
      <c r="I277" s="87"/>
      <c r="J277" s="89"/>
    </row>
    <row r="278" spans="1:11" s="101" customFormat="1" ht="15">
      <c r="A278" s="116"/>
      <c r="B278" s="104"/>
      <c r="C278" s="87" t="s">
        <v>336</v>
      </c>
      <c r="D278" s="104"/>
      <c r="E278" s="102"/>
      <c r="F278" s="97"/>
      <c r="G278" s="104"/>
      <c r="H278" s="2" t="s">
        <v>325</v>
      </c>
      <c r="I278" s="212"/>
      <c r="J278" s="127"/>
    </row>
    <row r="279" spans="1:11" s="101" customFormat="1" ht="13.5">
      <c r="A279" s="116"/>
      <c r="B279" s="104"/>
      <c r="C279" s="237"/>
      <c r="D279" s="52"/>
      <c r="E279" s="52"/>
      <c r="F279" s="52"/>
      <c r="G279" s="52"/>
      <c r="H279" s="52"/>
      <c r="I279" s="162"/>
      <c r="J279" s="106"/>
    </row>
    <row r="280" spans="1:11" ht="15.75">
      <c r="A280" s="161"/>
      <c r="B280" s="52"/>
      <c r="C280" s="138"/>
      <c r="D280" s="138"/>
      <c r="E280" s="138"/>
      <c r="F280" s="138"/>
      <c r="G280" s="138"/>
      <c r="H280" s="138"/>
      <c r="I280" s="138"/>
      <c r="J280" s="156"/>
    </row>
    <row r="281" spans="1:11" s="84" customFormat="1" ht="15">
      <c r="A281" s="86">
        <f>A277+1</f>
        <v>48</v>
      </c>
      <c r="B281" s="52" t="s">
        <v>636</v>
      </c>
      <c r="C281" s="87" t="s">
        <v>792</v>
      </c>
      <c r="D281" s="87"/>
      <c r="E281" s="87"/>
      <c r="F281" s="87"/>
      <c r="H281" s="14" t="s">
        <v>325</v>
      </c>
      <c r="I281" s="87"/>
      <c r="J281" s="213">
        <f>IF(H281&lt;&gt;" ",1,0)</f>
        <v>1</v>
      </c>
    </row>
    <row r="282" spans="1:11" ht="15.75">
      <c r="A282" s="161"/>
      <c r="B282" s="52"/>
      <c r="C282" s="237"/>
      <c r="D282" s="138"/>
      <c r="E282" s="138"/>
      <c r="F282" s="138"/>
      <c r="G282" s="138"/>
      <c r="H282" s="138"/>
      <c r="I282" s="138"/>
      <c r="J282" s="156"/>
    </row>
    <row r="283" spans="1:11" s="84" customFormat="1" ht="15.75">
      <c r="A283" s="86"/>
      <c r="B283" s="87"/>
      <c r="C283" s="214" t="s">
        <v>793</v>
      </c>
      <c r="D283" s="87"/>
      <c r="E283" s="87"/>
      <c r="F283" s="87"/>
      <c r="G283" s="87"/>
      <c r="H283" s="87"/>
      <c r="I283" s="87"/>
      <c r="J283" s="89"/>
    </row>
    <row r="284" spans="1:11" s="84" customFormat="1" ht="15">
      <c r="A284" s="86">
        <f>A281+1</f>
        <v>49</v>
      </c>
      <c r="B284" s="87" t="s">
        <v>636</v>
      </c>
      <c r="C284" s="87" t="s">
        <v>794</v>
      </c>
      <c r="D284" s="87"/>
      <c r="E284" s="87"/>
      <c r="F284" s="87"/>
      <c r="G284" s="87"/>
      <c r="H284" s="87"/>
      <c r="I284" s="87"/>
      <c r="J284" s="89"/>
    </row>
    <row r="285" spans="1:11" s="101" customFormat="1">
      <c r="A285" s="116"/>
      <c r="B285" s="104"/>
      <c r="C285" s="104"/>
      <c r="D285" s="104"/>
      <c r="E285" s="104"/>
      <c r="F285" s="210" t="s">
        <v>795</v>
      </c>
      <c r="G285" s="52"/>
      <c r="H285" s="52"/>
      <c r="I285" s="215"/>
      <c r="J285" s="106"/>
    </row>
    <row r="286" spans="1:11" s="101" customFormat="1">
      <c r="A286" s="116"/>
      <c r="B286" s="104"/>
      <c r="C286" s="104" t="s">
        <v>527</v>
      </c>
      <c r="D286" s="104"/>
      <c r="E286" s="104"/>
      <c r="F286" s="43" t="s">
        <v>702</v>
      </c>
      <c r="G286" s="104" t="s">
        <v>796</v>
      </c>
      <c r="H286" s="104"/>
      <c r="I286" s="212"/>
      <c r="J286" s="127"/>
    </row>
    <row r="287" spans="1:11" s="101" customFormat="1">
      <c r="A287" s="116"/>
      <c r="B287" s="104"/>
      <c r="C287" s="104" t="s">
        <v>799</v>
      </c>
      <c r="D287" s="104"/>
      <c r="E287" s="104"/>
      <c r="F287" s="44" t="s">
        <v>702</v>
      </c>
      <c r="G287" s="104" t="s">
        <v>796</v>
      </c>
      <c r="H287" s="104"/>
      <c r="I287" s="212"/>
      <c r="J287" s="127"/>
    </row>
    <row r="288" spans="1:11" s="101" customFormat="1">
      <c r="A288" s="116"/>
      <c r="B288" s="104"/>
      <c r="C288" s="104" t="s">
        <v>800</v>
      </c>
      <c r="D288" s="104"/>
      <c r="E288" s="104"/>
      <c r="F288" s="44" t="s">
        <v>702</v>
      </c>
      <c r="G288" s="104" t="s">
        <v>796</v>
      </c>
      <c r="H288" s="104"/>
      <c r="I288" s="212"/>
      <c r="J288" s="127"/>
    </row>
    <row r="289" spans="1:10" s="101" customFormat="1">
      <c r="A289" s="116"/>
      <c r="B289" s="104"/>
      <c r="C289" s="104" t="s">
        <v>801</v>
      </c>
      <c r="D289" s="104"/>
      <c r="E289" s="104"/>
      <c r="F289" s="44" t="s">
        <v>702</v>
      </c>
      <c r="G289" s="104" t="s">
        <v>796</v>
      </c>
      <c r="H289" s="104"/>
      <c r="I289" s="212"/>
      <c r="J289" s="127"/>
    </row>
    <row r="290" spans="1:10" s="101" customFormat="1">
      <c r="A290" s="116"/>
      <c r="B290" s="104"/>
      <c r="C290" s="104" t="s">
        <v>802</v>
      </c>
      <c r="D290" s="104"/>
      <c r="E290" s="104"/>
      <c r="F290" s="44" t="s">
        <v>702</v>
      </c>
      <c r="G290" s="104" t="s">
        <v>796</v>
      </c>
      <c r="H290" s="104"/>
      <c r="I290" s="212"/>
      <c r="J290" s="127"/>
    </row>
    <row r="291" spans="1:10" s="101" customFormat="1">
      <c r="A291" s="116"/>
      <c r="B291" s="104"/>
      <c r="C291" s="104" t="s">
        <v>803</v>
      </c>
      <c r="D291" s="104"/>
      <c r="E291" s="104"/>
      <c r="F291" s="44" t="s">
        <v>702</v>
      </c>
      <c r="G291" s="104" t="s">
        <v>796</v>
      </c>
      <c r="H291" s="104"/>
      <c r="I291" s="212"/>
      <c r="J291" s="127"/>
    </row>
    <row r="292" spans="1:10" s="101" customFormat="1">
      <c r="A292" s="116"/>
      <c r="B292" s="104"/>
      <c r="C292" s="104" t="s">
        <v>804</v>
      </c>
      <c r="D292" s="104"/>
      <c r="E292" s="104"/>
      <c r="F292" s="44" t="s">
        <v>702</v>
      </c>
      <c r="G292" s="104" t="s">
        <v>796</v>
      </c>
      <c r="H292" s="104"/>
      <c r="I292" s="212"/>
      <c r="J292" s="127"/>
    </row>
    <row r="293" spans="1:10" s="101" customFormat="1">
      <c r="A293" s="116"/>
      <c r="B293" s="104"/>
      <c r="C293" s="104" t="s">
        <v>1048</v>
      </c>
      <c r="D293" s="104"/>
      <c r="E293" s="104"/>
      <c r="F293" s="44" t="s">
        <v>702</v>
      </c>
      <c r="G293" s="104" t="s">
        <v>796</v>
      </c>
      <c r="H293" s="104"/>
      <c r="I293" s="212"/>
      <c r="J293" s="127"/>
    </row>
    <row r="294" spans="1:10" s="101" customFormat="1">
      <c r="A294" s="116"/>
      <c r="B294" s="104"/>
      <c r="C294" s="104" t="s">
        <v>1049</v>
      </c>
      <c r="D294" s="104"/>
      <c r="E294" s="104"/>
      <c r="F294" s="44" t="s">
        <v>702</v>
      </c>
      <c r="G294" s="104" t="s">
        <v>796</v>
      </c>
      <c r="H294" s="104"/>
      <c r="I294" s="212"/>
      <c r="J294" s="127"/>
    </row>
    <row r="295" spans="1:10" ht="15.75">
      <c r="A295" s="161"/>
      <c r="B295" s="52"/>
      <c r="C295" s="138"/>
      <c r="D295" s="138"/>
      <c r="E295" s="138"/>
      <c r="F295" s="138"/>
      <c r="G295" s="104"/>
      <c r="H295" s="138"/>
      <c r="I295" s="138"/>
      <c r="J295" s="156"/>
    </row>
    <row r="296" spans="1:10" ht="15.75">
      <c r="A296" s="161"/>
      <c r="B296" s="52"/>
      <c r="C296" s="138"/>
      <c r="D296" s="138"/>
      <c r="E296" s="138"/>
      <c r="F296" s="138"/>
      <c r="G296" s="138"/>
      <c r="H296" s="138"/>
      <c r="I296" s="138"/>
      <c r="J296" s="156"/>
    </row>
    <row r="297" spans="1:10" ht="15.75">
      <c r="A297" s="161"/>
      <c r="B297" s="52"/>
      <c r="C297" s="138"/>
      <c r="D297" s="138"/>
      <c r="E297" s="138"/>
      <c r="F297" s="138"/>
      <c r="G297" s="138"/>
      <c r="H297" s="138"/>
      <c r="I297" s="138"/>
      <c r="J297" s="156"/>
    </row>
    <row r="298" spans="1:10" ht="16.5" thickBot="1">
      <c r="A298" s="168"/>
      <c r="B298" s="132"/>
      <c r="C298" s="169"/>
      <c r="D298" s="169"/>
      <c r="E298" s="169"/>
      <c r="F298" s="169"/>
      <c r="G298" s="169"/>
      <c r="H298" s="169"/>
      <c r="I298" s="216"/>
      <c r="J298" s="170"/>
    </row>
    <row r="299" spans="1:10" s="65" customFormat="1" ht="12">
      <c r="A299" s="64"/>
      <c r="B299" s="136">
        <f>$E$7</f>
        <v>0</v>
      </c>
      <c r="C299" s="67"/>
      <c r="D299" s="64"/>
      <c r="E299" s="64"/>
      <c r="F299" s="137"/>
      <c r="G299" s="137" t="e">
        <f>$G$59</f>
        <v>#VALUE!</v>
      </c>
      <c r="H299" s="1189" t="e">
        <f>$H$59</f>
        <v>#VALUE!</v>
      </c>
      <c r="I299" s="1189"/>
      <c r="J299" s="1189"/>
    </row>
    <row r="300" spans="1:10" s="65" customFormat="1" thickBot="1">
      <c r="A300" s="67" t="s">
        <v>651</v>
      </c>
      <c r="B300" s="64"/>
      <c r="C300" s="67"/>
      <c r="D300" s="64"/>
      <c r="E300" s="64"/>
      <c r="F300" s="64"/>
      <c r="G300" s="64"/>
      <c r="H300" s="64"/>
      <c r="I300" s="67" t="s">
        <v>1050</v>
      </c>
      <c r="J300" s="64"/>
    </row>
    <row r="301" spans="1:10" s="78" customFormat="1" ht="16.5" thickBot="1">
      <c r="A301" s="73" t="s">
        <v>1051</v>
      </c>
      <c r="B301" s="217"/>
      <c r="C301" s="218"/>
      <c r="D301" s="217"/>
      <c r="E301" s="217"/>
      <c r="F301" s="217"/>
      <c r="G301" s="217"/>
      <c r="H301" s="217"/>
      <c r="I301" s="217"/>
      <c r="J301" s="219"/>
    </row>
    <row r="302" spans="1:10" s="85" customFormat="1" ht="12" thickTop="1">
      <c r="A302" s="79"/>
      <c r="B302" s="80"/>
      <c r="C302" s="80"/>
      <c r="D302" s="80"/>
      <c r="E302" s="80"/>
      <c r="F302" s="80"/>
      <c r="G302" s="80"/>
      <c r="H302" s="80"/>
      <c r="I302" s="80"/>
      <c r="J302" s="83"/>
    </row>
    <row r="303" spans="1:10" ht="15.75">
      <c r="A303" s="116">
        <f>A284+1</f>
        <v>50</v>
      </c>
      <c r="B303" s="104" t="s">
        <v>636</v>
      </c>
      <c r="C303" s="211" t="s">
        <v>1052</v>
      </c>
      <c r="D303" s="138"/>
      <c r="E303" s="138"/>
      <c r="F303" s="138"/>
      <c r="G303" s="138"/>
      <c r="H303" s="8" t="s">
        <v>325</v>
      </c>
      <c r="I303" s="52"/>
      <c r="J303" s="156"/>
    </row>
    <row r="304" spans="1:10" ht="15.75">
      <c r="A304" s="116"/>
      <c r="B304" s="104"/>
      <c r="C304" s="211" t="s">
        <v>1053</v>
      </c>
      <c r="D304" s="138"/>
      <c r="E304" s="138"/>
      <c r="F304" s="138"/>
      <c r="G304" s="138"/>
      <c r="H304" s="164"/>
      <c r="I304" s="52"/>
      <c r="J304" s="156"/>
    </row>
    <row r="305" spans="1:11" ht="15.75">
      <c r="A305" s="116"/>
      <c r="B305" s="104"/>
      <c r="C305" s="211" t="s">
        <v>1054</v>
      </c>
      <c r="D305" s="138"/>
      <c r="E305" s="138"/>
      <c r="F305" s="138"/>
      <c r="G305" s="138"/>
      <c r="H305" s="164"/>
      <c r="I305" s="52"/>
      <c r="J305" s="156"/>
    </row>
    <row r="306" spans="1:11" s="85" customFormat="1" ht="11.25">
      <c r="A306" s="79"/>
      <c r="B306" s="80"/>
      <c r="C306" s="80"/>
      <c r="D306" s="80"/>
      <c r="E306" s="80"/>
      <c r="F306" s="80"/>
      <c r="G306" s="80"/>
      <c r="H306" s="220"/>
      <c r="I306" s="80"/>
      <c r="J306" s="83"/>
      <c r="K306" s="103"/>
    </row>
    <row r="307" spans="1:11" ht="15.75">
      <c r="A307" s="116">
        <f>A303+1</f>
        <v>51</v>
      </c>
      <c r="B307" s="104" t="s">
        <v>636</v>
      </c>
      <c r="C307" s="211" t="s">
        <v>1055</v>
      </c>
      <c r="D307" s="138"/>
      <c r="E307" s="138"/>
      <c r="F307" s="138"/>
      <c r="G307" s="138"/>
      <c r="H307" s="8" t="s">
        <v>325</v>
      </c>
      <c r="I307" s="52"/>
      <c r="J307" s="156"/>
    </row>
    <row r="308" spans="1:11" ht="15.75">
      <c r="A308" s="116"/>
      <c r="B308" s="104"/>
      <c r="C308" s="237"/>
      <c r="D308" s="138"/>
      <c r="E308" s="138"/>
      <c r="F308" s="138"/>
      <c r="G308" s="138"/>
      <c r="H308" s="164"/>
      <c r="I308" s="138"/>
      <c r="J308" s="156"/>
    </row>
    <row r="309" spans="1:11" s="85" customFormat="1" ht="11.25">
      <c r="A309" s="79"/>
      <c r="B309" s="80"/>
      <c r="C309" s="80"/>
      <c r="D309" s="80"/>
      <c r="E309" s="80"/>
      <c r="F309" s="80"/>
      <c r="G309" s="80"/>
      <c r="H309" s="220"/>
      <c r="I309" s="80"/>
      <c r="J309" s="83"/>
      <c r="K309" s="103"/>
    </row>
    <row r="310" spans="1:11" ht="15.75">
      <c r="A310" s="116">
        <f>A307+1</f>
        <v>52</v>
      </c>
      <c r="B310" s="104" t="s">
        <v>636</v>
      </c>
      <c r="C310" s="211" t="s">
        <v>1056</v>
      </c>
      <c r="D310" s="138"/>
      <c r="E310" s="138"/>
      <c r="F310" s="138"/>
      <c r="G310" s="138"/>
      <c r="H310" s="8" t="s">
        <v>1398</v>
      </c>
      <c r="I310" s="52"/>
      <c r="J310" s="156"/>
    </row>
    <row r="311" spans="1:11" ht="15.75">
      <c r="A311" s="116"/>
      <c r="B311" s="104"/>
      <c r="C311" s="211" t="s">
        <v>1057</v>
      </c>
      <c r="D311" s="138"/>
      <c r="E311" s="138"/>
      <c r="F311" s="138"/>
      <c r="G311" s="138"/>
      <c r="H311" s="164"/>
      <c r="I311" s="52"/>
      <c r="J311" s="156"/>
    </row>
    <row r="312" spans="1:11" ht="15.75">
      <c r="A312" s="116"/>
      <c r="B312" s="104"/>
      <c r="C312" s="211" t="s">
        <v>1065</v>
      </c>
      <c r="D312" s="138"/>
      <c r="E312" s="138"/>
      <c r="F312" s="138"/>
      <c r="G312" s="138"/>
      <c r="H312" s="164"/>
      <c r="I312" s="52"/>
      <c r="J312" s="156"/>
    </row>
    <row r="313" spans="1:11" s="85" customFormat="1" ht="11.25">
      <c r="A313" s="79"/>
      <c r="B313" s="80"/>
      <c r="C313" s="80"/>
      <c r="D313" s="80"/>
      <c r="E313" s="80"/>
      <c r="F313" s="80"/>
      <c r="G313" s="80"/>
      <c r="H313" s="220"/>
      <c r="I313" s="80"/>
      <c r="J313" s="83"/>
    </row>
    <row r="314" spans="1:11" ht="15.75">
      <c r="A314" s="116"/>
      <c r="B314" s="104"/>
      <c r="C314" s="238" t="s">
        <v>1288</v>
      </c>
      <c r="D314" s="138"/>
      <c r="E314" s="138"/>
      <c r="F314" s="138"/>
      <c r="G314" s="138"/>
      <c r="H314" s="164"/>
      <c r="I314" s="52"/>
      <c r="J314" s="156"/>
    </row>
    <row r="315" spans="1:11" ht="15.75">
      <c r="A315" s="116"/>
      <c r="B315" s="104"/>
      <c r="C315" s="238" t="s">
        <v>1289</v>
      </c>
      <c r="D315" s="138"/>
      <c r="E315" s="138"/>
      <c r="F315" s="138"/>
      <c r="G315" s="138"/>
      <c r="H315" s="710"/>
      <c r="I315" s="138"/>
      <c r="J315" s="156"/>
    </row>
    <row r="316" spans="1:11" ht="15.75">
      <c r="A316" s="116"/>
      <c r="B316" s="104"/>
      <c r="C316" s="237"/>
      <c r="D316" s="138"/>
      <c r="E316" s="138"/>
      <c r="F316" s="138"/>
      <c r="G316" s="138"/>
      <c r="H316" s="164"/>
      <c r="I316" s="52"/>
      <c r="J316" s="156"/>
    </row>
    <row r="317" spans="1:11" s="85" customFormat="1" ht="11.25">
      <c r="A317" s="79"/>
      <c r="B317" s="80"/>
      <c r="C317" s="80"/>
      <c r="D317" s="80"/>
      <c r="E317" s="80"/>
      <c r="F317" s="80"/>
      <c r="G317" s="80"/>
      <c r="H317" s="220"/>
      <c r="I317" s="80"/>
      <c r="J317" s="83"/>
    </row>
    <row r="318" spans="1:11" ht="18" customHeight="1">
      <c r="A318" s="116">
        <f>A310+1</f>
        <v>53</v>
      </c>
      <c r="B318" s="104" t="s">
        <v>636</v>
      </c>
      <c r="C318" s="211" t="s">
        <v>1066</v>
      </c>
      <c r="D318" s="138"/>
      <c r="E318" s="138"/>
      <c r="F318" s="138"/>
      <c r="G318" s="138"/>
      <c r="H318" s="8" t="s">
        <v>325</v>
      </c>
      <c r="I318" s="52"/>
      <c r="J318" s="156"/>
    </row>
    <row r="319" spans="1:11" ht="15.75">
      <c r="A319" s="116"/>
      <c r="B319" s="104"/>
      <c r="C319" s="237"/>
      <c r="D319" s="138"/>
      <c r="E319" s="138"/>
      <c r="F319" s="138"/>
      <c r="G319" s="138"/>
      <c r="H319" s="164"/>
      <c r="I319" s="52"/>
      <c r="J319" s="156"/>
    </row>
    <row r="320" spans="1:11" ht="15.75">
      <c r="A320" s="116"/>
      <c r="B320" s="104"/>
      <c r="C320" s="237"/>
      <c r="D320" s="138"/>
      <c r="E320" s="138"/>
      <c r="F320" s="138"/>
      <c r="G320" s="138"/>
      <c r="H320" s="164"/>
      <c r="I320" s="52"/>
      <c r="J320" s="156"/>
    </row>
    <row r="321" spans="1:10" ht="15.75">
      <c r="A321" s="116"/>
      <c r="B321" s="104"/>
      <c r="C321" s="237"/>
      <c r="D321" s="138"/>
      <c r="E321" s="138"/>
      <c r="F321" s="138"/>
      <c r="G321" s="138"/>
      <c r="H321" s="164"/>
      <c r="I321" s="138"/>
      <c r="J321" s="156"/>
    </row>
    <row r="322" spans="1:10" s="85" customFormat="1" ht="11.25">
      <c r="A322" s="79"/>
      <c r="B322" s="80"/>
      <c r="C322" s="80"/>
      <c r="D322" s="80"/>
      <c r="E322" s="80"/>
      <c r="F322" s="80"/>
      <c r="G322" s="80"/>
      <c r="H322" s="220"/>
      <c r="I322" s="80"/>
      <c r="J322" s="83"/>
    </row>
    <row r="323" spans="1:10" ht="15.75">
      <c r="A323" s="116">
        <f>A318+1</f>
        <v>54</v>
      </c>
      <c r="B323" s="104" t="s">
        <v>636</v>
      </c>
      <c r="C323" s="211" t="s">
        <v>1067</v>
      </c>
      <c r="D323" s="138"/>
      <c r="E323" s="138"/>
      <c r="F323" s="138"/>
      <c r="G323" s="138"/>
      <c r="H323" s="8" t="s">
        <v>325</v>
      </c>
      <c r="I323" s="52"/>
      <c r="J323" s="156"/>
    </row>
    <row r="324" spans="1:10" ht="15.75">
      <c r="A324" s="116"/>
      <c r="B324" s="104"/>
      <c r="C324" s="242"/>
      <c r="D324" s="138"/>
      <c r="E324" s="138"/>
      <c r="F324" s="138"/>
      <c r="G324" s="138"/>
      <c r="H324" s="164"/>
      <c r="I324" s="52"/>
      <c r="J324" s="156"/>
    </row>
    <row r="325" spans="1:10" ht="15.75">
      <c r="A325" s="116"/>
      <c r="B325" s="104"/>
      <c r="C325" s="221"/>
      <c r="D325" s="138"/>
      <c r="E325" s="138"/>
      <c r="F325" s="138"/>
      <c r="G325" s="138"/>
      <c r="H325" s="164"/>
      <c r="I325" s="52"/>
      <c r="J325" s="156"/>
    </row>
    <row r="326" spans="1:10" s="85" customFormat="1" ht="11.25">
      <c r="A326" s="79"/>
      <c r="B326" s="80"/>
      <c r="C326" s="80"/>
      <c r="D326" s="80"/>
      <c r="E326" s="80"/>
      <c r="F326" s="80"/>
      <c r="G326" s="80"/>
      <c r="H326" s="220"/>
      <c r="I326" s="80"/>
      <c r="J326" s="83"/>
    </row>
    <row r="327" spans="1:10" ht="15.75">
      <c r="A327" s="116">
        <f>A323+1</f>
        <v>55</v>
      </c>
      <c r="B327" s="104" t="s">
        <v>636</v>
      </c>
      <c r="C327" s="211" t="s">
        <v>1068</v>
      </c>
      <c r="D327" s="138"/>
      <c r="E327" s="138"/>
      <c r="F327" s="138"/>
      <c r="G327" s="138"/>
      <c r="H327" s="8" t="s">
        <v>325</v>
      </c>
      <c r="I327" s="52"/>
      <c r="J327" s="156"/>
    </row>
    <row r="328" spans="1:10" ht="15.75">
      <c r="A328" s="116"/>
      <c r="B328" s="104"/>
      <c r="C328" s="237"/>
      <c r="D328" s="138"/>
      <c r="E328" s="138"/>
      <c r="F328" s="138"/>
      <c r="G328" s="138"/>
      <c r="H328" s="164"/>
      <c r="I328" s="138"/>
      <c r="J328" s="156"/>
    </row>
    <row r="329" spans="1:10" ht="15.75">
      <c r="A329" s="116"/>
      <c r="B329" s="104"/>
      <c r="C329" s="221"/>
      <c r="D329" s="138"/>
      <c r="E329" s="138"/>
      <c r="F329" s="138"/>
      <c r="G329" s="138"/>
      <c r="H329" s="164"/>
      <c r="I329" s="138"/>
      <c r="J329" s="156"/>
    </row>
    <row r="330" spans="1:10" s="85" customFormat="1" ht="15" customHeight="1">
      <c r="A330" s="79"/>
      <c r="B330" s="80"/>
      <c r="C330" s="211"/>
      <c r="D330" s="80"/>
      <c r="E330" s="80"/>
      <c r="F330" s="80"/>
      <c r="G330" s="80"/>
      <c r="H330" s="220"/>
      <c r="I330" s="80"/>
      <c r="J330" s="83"/>
    </row>
    <row r="331" spans="1:10" ht="15.75">
      <c r="A331" s="116">
        <f>A327+1</f>
        <v>56</v>
      </c>
      <c r="B331" s="104" t="s">
        <v>636</v>
      </c>
      <c r="C331" s="211" t="s">
        <v>1069</v>
      </c>
      <c r="D331" s="138"/>
      <c r="E331" s="138"/>
      <c r="F331" s="138"/>
      <c r="G331" s="138"/>
      <c r="H331" s="8" t="s">
        <v>325</v>
      </c>
      <c r="I331" s="52"/>
      <c r="J331" s="156"/>
    </row>
    <row r="332" spans="1:10" ht="15.75">
      <c r="A332" s="116"/>
      <c r="B332" s="104"/>
      <c r="C332" s="211" t="s">
        <v>1070</v>
      </c>
      <c r="D332" s="138"/>
      <c r="E332" s="138"/>
      <c r="F332" s="138"/>
      <c r="G332" s="138"/>
      <c r="H332" s="164"/>
      <c r="I332" s="138"/>
      <c r="J332" s="156"/>
    </row>
    <row r="333" spans="1:10" ht="15.75">
      <c r="A333" s="116"/>
      <c r="B333" s="104"/>
      <c r="C333" s="242"/>
      <c r="D333" s="138"/>
      <c r="E333" s="138"/>
      <c r="F333" s="138"/>
      <c r="G333" s="138"/>
      <c r="H333" s="164"/>
      <c r="I333" s="138"/>
      <c r="J333" s="156"/>
    </row>
    <row r="334" spans="1:10" s="85" customFormat="1" ht="15">
      <c r="A334" s="79"/>
      <c r="B334" s="80"/>
      <c r="C334" s="211"/>
      <c r="D334" s="80"/>
      <c r="E334" s="80"/>
      <c r="F334" s="80"/>
      <c r="G334" s="80"/>
      <c r="H334" s="220"/>
      <c r="I334" s="80"/>
      <c r="J334" s="83"/>
    </row>
    <row r="335" spans="1:10" ht="15.75">
      <c r="A335" s="116">
        <f>A331+1</f>
        <v>57</v>
      </c>
      <c r="B335" s="104" t="s">
        <v>636</v>
      </c>
      <c r="C335" s="211" t="s">
        <v>1071</v>
      </c>
      <c r="D335" s="138"/>
      <c r="E335" s="138"/>
      <c r="F335" s="138"/>
      <c r="G335" s="138"/>
      <c r="H335" s="8" t="s">
        <v>325</v>
      </c>
      <c r="I335" s="52"/>
      <c r="J335" s="156"/>
    </row>
    <row r="336" spans="1:10" ht="15.75">
      <c r="A336" s="116"/>
      <c r="B336" s="104"/>
      <c r="C336" s="211" t="s">
        <v>1072</v>
      </c>
      <c r="D336" s="138"/>
      <c r="E336" s="138"/>
      <c r="F336" s="138"/>
      <c r="G336" s="138"/>
      <c r="H336" s="164"/>
      <c r="I336" s="52"/>
      <c r="J336" s="156"/>
    </row>
    <row r="337" spans="1:10" ht="15.75">
      <c r="A337" s="116"/>
      <c r="B337" s="104"/>
      <c r="C337" s="237"/>
      <c r="D337" s="138"/>
      <c r="E337" s="138"/>
      <c r="F337" s="138"/>
      <c r="G337" s="138"/>
      <c r="H337" s="164"/>
      <c r="I337" s="52"/>
      <c r="J337" s="156"/>
    </row>
    <row r="338" spans="1:10" ht="15.75">
      <c r="A338" s="116"/>
      <c r="B338" s="104"/>
      <c r="C338" s="237"/>
      <c r="D338" s="138"/>
      <c r="E338" s="138"/>
      <c r="F338" s="138"/>
      <c r="G338" s="138"/>
      <c r="H338" s="164"/>
      <c r="I338" s="52"/>
      <c r="J338" s="156"/>
    </row>
    <row r="339" spans="1:10" s="85" customFormat="1" ht="15">
      <c r="A339" s="79"/>
      <c r="B339" s="80"/>
      <c r="C339" s="211"/>
      <c r="D339" s="80"/>
      <c r="E339" s="80"/>
      <c r="F339" s="80"/>
      <c r="G339" s="80"/>
      <c r="H339" s="220"/>
      <c r="I339" s="80"/>
      <c r="J339" s="83"/>
    </row>
    <row r="340" spans="1:10" ht="15.75">
      <c r="A340" s="116">
        <f>A335+1</f>
        <v>58</v>
      </c>
      <c r="B340" s="104" t="s">
        <v>636</v>
      </c>
      <c r="C340" s="211" t="s">
        <v>1406</v>
      </c>
      <c r="D340" s="138"/>
      <c r="E340" s="138"/>
      <c r="F340" s="138"/>
      <c r="G340" s="138"/>
      <c r="H340" s="8" t="s">
        <v>325</v>
      </c>
      <c r="I340" s="52"/>
      <c r="J340" s="156"/>
    </row>
    <row r="341" spans="1:10" ht="15.75">
      <c r="A341" s="116"/>
      <c r="B341" s="104"/>
      <c r="C341" s="211" t="s">
        <v>1073</v>
      </c>
      <c r="D341" s="138"/>
      <c r="E341" s="138"/>
      <c r="F341" s="138"/>
      <c r="G341" s="138"/>
      <c r="H341" s="164"/>
      <c r="I341" s="52"/>
      <c r="J341" s="156"/>
    </row>
    <row r="342" spans="1:10" s="85" customFormat="1" ht="15">
      <c r="A342" s="79"/>
      <c r="B342" s="80"/>
      <c r="C342" s="211"/>
      <c r="D342" s="80"/>
      <c r="E342" s="80"/>
      <c r="F342" s="80"/>
      <c r="G342" s="80"/>
      <c r="H342" s="220"/>
      <c r="I342" s="80"/>
      <c r="J342" s="83"/>
    </row>
    <row r="343" spans="1:10" ht="15.75">
      <c r="A343" s="116">
        <f>A340+1</f>
        <v>59</v>
      </c>
      <c r="B343" s="104" t="s">
        <v>636</v>
      </c>
      <c r="C343" s="211" t="s">
        <v>1074</v>
      </c>
      <c r="D343" s="138"/>
      <c r="E343" s="138"/>
      <c r="F343" s="138"/>
      <c r="G343" s="138"/>
      <c r="H343" s="8" t="s">
        <v>325</v>
      </c>
      <c r="I343" s="52"/>
      <c r="J343" s="156"/>
    </row>
    <row r="344" spans="1:10" ht="15.75">
      <c r="A344" s="116"/>
      <c r="B344" s="104"/>
      <c r="C344" s="237"/>
      <c r="D344" s="138"/>
      <c r="E344" s="138"/>
      <c r="F344" s="138"/>
      <c r="G344" s="138"/>
      <c r="H344" s="164"/>
      <c r="I344" s="52"/>
      <c r="J344" s="156"/>
    </row>
    <row r="345" spans="1:10" ht="15.75">
      <c r="A345" s="116"/>
      <c r="B345" s="104"/>
      <c r="C345" s="237"/>
      <c r="D345" s="138"/>
      <c r="E345" s="138"/>
      <c r="F345" s="138"/>
      <c r="G345" s="138"/>
      <c r="H345" s="164"/>
      <c r="I345" s="52"/>
      <c r="J345" s="156"/>
    </row>
    <row r="346" spans="1:10" ht="15.75">
      <c r="A346" s="116"/>
      <c r="B346" s="104"/>
      <c r="C346" s="237"/>
      <c r="D346" s="138"/>
      <c r="E346" s="138"/>
      <c r="F346" s="138"/>
      <c r="G346" s="138"/>
      <c r="H346" s="164"/>
      <c r="I346" s="52"/>
      <c r="J346" s="156"/>
    </row>
    <row r="347" spans="1:10" s="85" customFormat="1" ht="15">
      <c r="A347" s="79"/>
      <c r="B347" s="80"/>
      <c r="C347" s="211"/>
      <c r="D347" s="80"/>
      <c r="E347" s="80"/>
      <c r="F347" s="80"/>
      <c r="G347" s="80"/>
      <c r="H347" s="220"/>
      <c r="I347" s="80"/>
      <c r="J347" s="83"/>
    </row>
    <row r="348" spans="1:10" ht="15.75">
      <c r="A348" s="116">
        <f>A343+1</f>
        <v>60</v>
      </c>
      <c r="B348" s="104" t="s">
        <v>636</v>
      </c>
      <c r="C348" s="211" t="s">
        <v>1075</v>
      </c>
      <c r="D348" s="138"/>
      <c r="E348" s="138"/>
      <c r="F348" s="138"/>
      <c r="G348" s="138"/>
      <c r="H348" s="8" t="s">
        <v>325</v>
      </c>
      <c r="I348" s="52"/>
      <c r="J348" s="156"/>
    </row>
    <row r="349" spans="1:10" s="85" customFormat="1" ht="15">
      <c r="A349" s="79"/>
      <c r="B349" s="80"/>
      <c r="C349" s="211"/>
      <c r="D349" s="80"/>
      <c r="E349" s="80"/>
      <c r="F349" s="80"/>
      <c r="G349" s="80"/>
      <c r="H349" s="220"/>
      <c r="I349" s="80"/>
      <c r="J349" s="83"/>
    </row>
    <row r="350" spans="1:10" ht="15.75">
      <c r="A350" s="116">
        <f>A348+1</f>
        <v>61</v>
      </c>
      <c r="B350" s="104" t="s">
        <v>636</v>
      </c>
      <c r="C350" s="211" t="s">
        <v>1407</v>
      </c>
      <c r="D350" s="138"/>
      <c r="E350" s="138"/>
      <c r="F350" s="138"/>
      <c r="G350" s="138"/>
      <c r="H350" s="164"/>
      <c r="I350" s="52"/>
      <c r="J350" s="156"/>
    </row>
    <row r="351" spans="1:10" ht="15.75">
      <c r="A351" s="116"/>
      <c r="B351" s="104"/>
      <c r="C351" s="211" t="s">
        <v>1076</v>
      </c>
      <c r="D351" s="138"/>
      <c r="E351" s="138"/>
      <c r="F351" s="138"/>
      <c r="G351" s="138"/>
      <c r="H351" s="8" t="s">
        <v>1398</v>
      </c>
      <c r="I351" s="52"/>
      <c r="J351" s="156"/>
    </row>
    <row r="352" spans="1:10" s="85" customFormat="1" ht="11.25">
      <c r="A352" s="79"/>
      <c r="B352" s="80"/>
      <c r="C352" s="80"/>
      <c r="D352" s="80"/>
      <c r="E352" s="80"/>
      <c r="F352" s="80"/>
      <c r="G352" s="80"/>
      <c r="H352" s="80"/>
      <c r="I352" s="80"/>
      <c r="J352" s="83"/>
    </row>
    <row r="353" spans="1:10" s="85" customFormat="1" ht="11.25">
      <c r="A353" s="79"/>
      <c r="B353" s="80"/>
      <c r="C353" s="80"/>
      <c r="D353" s="80"/>
      <c r="E353" s="80"/>
      <c r="F353" s="80"/>
      <c r="G353" s="80"/>
      <c r="H353" s="80"/>
      <c r="I353" s="80"/>
      <c r="J353" s="83"/>
    </row>
    <row r="354" spans="1:10" s="85" customFormat="1" ht="12" thickBot="1">
      <c r="A354" s="209"/>
      <c r="B354" s="133"/>
      <c r="C354" s="133"/>
      <c r="D354" s="133"/>
      <c r="E354" s="133"/>
      <c r="F354" s="133"/>
      <c r="G354" s="133"/>
      <c r="H354" s="133"/>
      <c r="I354" s="133"/>
      <c r="J354" s="135"/>
    </row>
    <row r="355" spans="1:10">
      <c r="A355" s="222"/>
      <c r="B355" s="136">
        <f>$E$7</f>
        <v>0</v>
      </c>
      <c r="C355" s="67"/>
      <c r="D355" s="64"/>
      <c r="E355" s="64"/>
      <c r="F355" s="137"/>
      <c r="G355" s="137" t="e">
        <f>$G$59</f>
        <v>#VALUE!</v>
      </c>
      <c r="H355" s="1189" t="e">
        <f>$H$59</f>
        <v>#VALUE!</v>
      </c>
      <c r="I355" s="1189"/>
      <c r="J355" s="1189"/>
    </row>
    <row r="356" spans="1:10" ht="11.25">
      <c r="A356" s="103"/>
      <c r="B356" s="103"/>
    </row>
  </sheetData>
  <mergeCells count="40">
    <mergeCell ref="G120:H120"/>
    <mergeCell ref="G121:H121"/>
    <mergeCell ref="E176:F176"/>
    <mergeCell ref="G122:H122"/>
    <mergeCell ref="G160:I160"/>
    <mergeCell ref="D149:F149"/>
    <mergeCell ref="G161:I174"/>
    <mergeCell ref="E7:I7"/>
    <mergeCell ref="E11:I11"/>
    <mergeCell ref="G100:H100"/>
    <mergeCell ref="G101:H101"/>
    <mergeCell ref="E12:F12"/>
    <mergeCell ref="E13:G13"/>
    <mergeCell ref="D39:I45"/>
    <mergeCell ref="H48:I57"/>
    <mergeCell ref="H47:I47"/>
    <mergeCell ref="H59:J59"/>
    <mergeCell ref="E8:I8"/>
    <mergeCell ref="H299:J299"/>
    <mergeCell ref="H355:J355"/>
    <mergeCell ref="E237:F237"/>
    <mergeCell ref="E238:F238"/>
    <mergeCell ref="F264:H264"/>
    <mergeCell ref="E271:I271"/>
    <mergeCell ref="E270:I270"/>
    <mergeCell ref="H243:J243"/>
    <mergeCell ref="E269:I269"/>
    <mergeCell ref="C247:I249"/>
    <mergeCell ref="G123:H123"/>
    <mergeCell ref="E236:F236"/>
    <mergeCell ref="H125:J125"/>
    <mergeCell ref="H186:J186"/>
    <mergeCell ref="E234:F234"/>
    <mergeCell ref="E235:F235"/>
    <mergeCell ref="D194:I196"/>
    <mergeCell ref="D198:I200"/>
    <mergeCell ref="D202:I204"/>
    <mergeCell ref="F229:I231"/>
    <mergeCell ref="H189:I189"/>
    <mergeCell ref="F220:I220"/>
  </mergeCells>
  <phoneticPr fontId="140" type="noConversion"/>
  <conditionalFormatting sqref="K79:K84">
    <cfRule type="cellIs" dxfId="99" priority="1" stopIfTrue="1" operator="equal">
      <formula>"enter square feet"</formula>
    </cfRule>
  </conditionalFormatting>
  <conditionalFormatting sqref="A79:A84">
    <cfRule type="expression" dxfId="98" priority="2" stopIfTrue="1">
      <formula>K79="Enter Square Feet"</formula>
    </cfRule>
    <cfRule type="expression" dxfId="97" priority="3" stopIfTrue="1">
      <formula>K79=""</formula>
    </cfRule>
  </conditionalFormatting>
  <conditionalFormatting sqref="K89:K94">
    <cfRule type="cellIs" dxfId="96" priority="4" stopIfTrue="1" operator="equal">
      <formula>"Enter # Of Bathrooms"</formula>
    </cfRule>
  </conditionalFormatting>
  <conditionalFormatting sqref="A90:A94">
    <cfRule type="expression" dxfId="95" priority="5" stopIfTrue="1">
      <formula>K90="Enter # Of Bathrooms"</formula>
    </cfRule>
    <cfRule type="expression" dxfId="94" priority="6" stopIfTrue="1">
      <formula>K90=""</formula>
    </cfRule>
  </conditionalFormatting>
  <conditionalFormatting sqref="H189">
    <cfRule type="expression" dxfId="93" priority="7" stopIfTrue="1">
      <formula>$C$26="Yes"</formula>
    </cfRule>
  </conditionalFormatting>
  <conditionalFormatting sqref="G137 G140:G141 G129:G134">
    <cfRule type="expression" dxfId="92" priority="8" stopIfTrue="1">
      <formula>$C$26="Yes"</formula>
    </cfRule>
  </conditionalFormatting>
  <conditionalFormatting sqref="I155">
    <cfRule type="expression" dxfId="91" priority="9" stopIfTrue="1">
      <formula>$F$155="Yes"</formula>
    </cfRule>
  </conditionalFormatting>
  <conditionalFormatting sqref="G238">
    <cfRule type="expression" dxfId="90" priority="10" stopIfTrue="1">
      <formula>$D$238="No"</formula>
    </cfRule>
  </conditionalFormatting>
  <conditionalFormatting sqref="H315">
    <cfRule type="expression" dxfId="89" priority="11" stopIfTrue="1">
      <formula>$H$310="Yes"</formula>
    </cfRule>
  </conditionalFormatting>
  <conditionalFormatting sqref="H209">
    <cfRule type="expression" dxfId="88" priority="12" stopIfTrue="1">
      <formula>$E$209="Yes"</formula>
    </cfRule>
  </conditionalFormatting>
  <conditionalFormatting sqref="H210">
    <cfRule type="expression" dxfId="87" priority="13" stopIfTrue="1">
      <formula>$E$210="Yes"</formula>
    </cfRule>
  </conditionalFormatting>
  <conditionalFormatting sqref="E138">
    <cfRule type="cellIs" dxfId="86" priority="14" stopIfTrue="1" operator="notEqual">
      <formula>""""""</formula>
    </cfRule>
  </conditionalFormatting>
  <conditionalFormatting sqref="G237">
    <cfRule type="expression" dxfId="85" priority="15" stopIfTrue="1">
      <formula>$D$237="No"</formula>
    </cfRule>
  </conditionalFormatting>
  <conditionalFormatting sqref="G236">
    <cfRule type="expression" dxfId="84" priority="16" stopIfTrue="1">
      <formula>$D$236="No"</formula>
    </cfRule>
  </conditionalFormatting>
  <conditionalFormatting sqref="G235">
    <cfRule type="expression" dxfId="83" priority="17" stopIfTrue="1">
      <formula>$D$235="No"</formula>
    </cfRule>
  </conditionalFormatting>
  <conditionalFormatting sqref="G234">
    <cfRule type="expression" dxfId="82" priority="18" stopIfTrue="1">
      <formula>$D$234="No"</formula>
    </cfRule>
  </conditionalFormatting>
  <conditionalFormatting sqref="I158">
    <cfRule type="expression" dxfId="81" priority="19" stopIfTrue="1">
      <formula>$H$158&lt;&gt;""</formula>
    </cfRule>
  </conditionalFormatting>
  <conditionalFormatting sqref="A89">
    <cfRule type="expression" dxfId="80" priority="20" stopIfTrue="1">
      <formula>K89="Enter # Of Bathrooms"</formula>
    </cfRule>
    <cfRule type="expression" dxfId="79" priority="21" stopIfTrue="1">
      <formula>K89=""</formula>
    </cfRule>
  </conditionalFormatting>
  <conditionalFormatting sqref="D89 D79">
    <cfRule type="expression" dxfId="78" priority="22" stopIfTrue="1">
      <formula>$D$66&gt;0</formula>
    </cfRule>
  </conditionalFormatting>
  <conditionalFormatting sqref="D90 D80">
    <cfRule type="expression" dxfId="77" priority="23" stopIfTrue="1">
      <formula>$D$67&gt;0</formula>
    </cfRule>
  </conditionalFormatting>
  <conditionalFormatting sqref="D91 D81">
    <cfRule type="expression" dxfId="76" priority="24" stopIfTrue="1">
      <formula>$D$68&gt;0</formula>
    </cfRule>
  </conditionalFormatting>
  <conditionalFormatting sqref="D92 D82">
    <cfRule type="expression" dxfId="75" priority="25" stopIfTrue="1">
      <formula>$D$69&gt;0</formula>
    </cfRule>
  </conditionalFormatting>
  <conditionalFormatting sqref="D93 D83">
    <cfRule type="expression" dxfId="74" priority="26" stopIfTrue="1">
      <formula>$D$70&gt;0</formula>
    </cfRule>
  </conditionalFormatting>
  <conditionalFormatting sqref="D94 D84">
    <cfRule type="expression" dxfId="73" priority="27" stopIfTrue="1">
      <formula>$D$71&gt;0</formula>
    </cfRule>
  </conditionalFormatting>
  <conditionalFormatting sqref="E89 E79">
    <cfRule type="expression" dxfId="72" priority="28" stopIfTrue="1">
      <formula>$E$66&gt;0</formula>
    </cfRule>
  </conditionalFormatting>
  <conditionalFormatting sqref="E90 E80">
    <cfRule type="expression" dxfId="71" priority="29" stopIfTrue="1">
      <formula>$E$67&gt;0</formula>
    </cfRule>
  </conditionalFormatting>
  <conditionalFormatting sqref="E91 E81">
    <cfRule type="expression" dxfId="70" priority="30" stopIfTrue="1">
      <formula>$E$68&gt;0</formula>
    </cfRule>
  </conditionalFormatting>
  <conditionalFormatting sqref="E92 E82">
    <cfRule type="expression" dxfId="69" priority="31" stopIfTrue="1">
      <formula>$E$69&gt;0</formula>
    </cfRule>
  </conditionalFormatting>
  <conditionalFormatting sqref="E93 E83">
    <cfRule type="expression" dxfId="68" priority="32" stopIfTrue="1">
      <formula>$E$70&gt;0</formula>
    </cfRule>
  </conditionalFormatting>
  <conditionalFormatting sqref="E94 E84">
    <cfRule type="expression" dxfId="67" priority="33" stopIfTrue="1">
      <formula>$E$71&gt;0</formula>
    </cfRule>
  </conditionalFormatting>
  <conditionalFormatting sqref="F89 F79">
    <cfRule type="expression" dxfId="66" priority="34" stopIfTrue="1">
      <formula>$F$66&gt;0</formula>
    </cfRule>
  </conditionalFormatting>
  <conditionalFormatting sqref="F90 F80">
    <cfRule type="expression" dxfId="65" priority="35" stopIfTrue="1">
      <formula>$F$67&gt;0</formula>
    </cfRule>
  </conditionalFormatting>
  <conditionalFormatting sqref="F91 F81">
    <cfRule type="expression" dxfId="64" priority="36" stopIfTrue="1">
      <formula>$F$68&gt;0</formula>
    </cfRule>
  </conditionalFormatting>
  <conditionalFormatting sqref="F92 F82">
    <cfRule type="expression" dxfId="63" priority="37" stopIfTrue="1">
      <formula>$F$69&gt;0</formula>
    </cfRule>
  </conditionalFormatting>
  <conditionalFormatting sqref="F93 F83">
    <cfRule type="expression" dxfId="62" priority="38" stopIfTrue="1">
      <formula>$F$70&gt;0</formula>
    </cfRule>
  </conditionalFormatting>
  <conditionalFormatting sqref="F94 F84">
    <cfRule type="expression" dxfId="61" priority="39" stopIfTrue="1">
      <formula>$F$71&gt;0</formula>
    </cfRule>
  </conditionalFormatting>
  <conditionalFormatting sqref="G89 G79">
    <cfRule type="expression" dxfId="60" priority="40" stopIfTrue="1">
      <formula>$G$66&gt;0</formula>
    </cfRule>
  </conditionalFormatting>
  <conditionalFormatting sqref="G90 G80">
    <cfRule type="expression" dxfId="59" priority="41" stopIfTrue="1">
      <formula>$G$67&gt;0</formula>
    </cfRule>
  </conditionalFormatting>
  <conditionalFormatting sqref="G91 G81">
    <cfRule type="expression" dxfId="58" priority="42" stopIfTrue="1">
      <formula>$G$68&gt;0</formula>
    </cfRule>
  </conditionalFormatting>
  <conditionalFormatting sqref="G92 G82">
    <cfRule type="expression" dxfId="57" priority="43" stopIfTrue="1">
      <formula>$G$69&gt;0</formula>
    </cfRule>
  </conditionalFormatting>
  <conditionalFormatting sqref="G93 G83">
    <cfRule type="expression" dxfId="56" priority="44" stopIfTrue="1">
      <formula>$G$70&gt;0</formula>
    </cfRule>
  </conditionalFormatting>
  <conditionalFormatting sqref="G94 G84">
    <cfRule type="expression" dxfId="55" priority="45" stopIfTrue="1">
      <formula>$G$71&gt;0</formula>
    </cfRule>
  </conditionalFormatting>
  <conditionalFormatting sqref="H90 H80">
    <cfRule type="expression" dxfId="54" priority="46" stopIfTrue="1">
      <formula>$H$67&gt;0</formula>
    </cfRule>
  </conditionalFormatting>
  <conditionalFormatting sqref="H89 H79">
    <cfRule type="expression" dxfId="53" priority="47" stopIfTrue="1">
      <formula>$H$66&gt;0</formula>
    </cfRule>
  </conditionalFormatting>
  <conditionalFormatting sqref="H91 H81">
    <cfRule type="expression" dxfId="52" priority="48" stopIfTrue="1">
      <formula>$H$68&gt;0</formula>
    </cfRule>
  </conditionalFormatting>
  <conditionalFormatting sqref="H92 H82">
    <cfRule type="expression" dxfId="51" priority="49" stopIfTrue="1">
      <formula>$H$69&gt;0</formula>
    </cfRule>
  </conditionalFormatting>
  <conditionalFormatting sqref="H93 H83">
    <cfRule type="expression" dxfId="50" priority="50" stopIfTrue="1">
      <formula>$H$70&gt;0</formula>
    </cfRule>
  </conditionalFormatting>
  <conditionalFormatting sqref="H94 H84">
    <cfRule type="expression" dxfId="49" priority="51" stopIfTrue="1">
      <formula>$H$71&gt;0</formula>
    </cfRule>
  </conditionalFormatting>
  <printOptions horizontalCentered="1" gridLinesSet="0"/>
  <pageMargins left="7.0000000000000007E-2" right="7.0000000000000007E-2" top="7.0000000000000007E-2" bottom="7.0000000000000007E-2" header="7.0000000000000007E-2" footer="7.0000000000000007E-2"/>
  <pageSetup scale="95" orientation="portrait" blackAndWhite="1" horizontalDpi="300" verticalDpi="300" r:id="rId1"/>
  <headerFooter alignWithMargins="0"/>
  <rowBreaks count="6" manualBreakCount="6">
    <brk id="61" max="9" man="1"/>
    <brk id="125" max="9" man="1"/>
    <brk id="186" max="9" man="1"/>
    <brk id="243" max="9" man="1"/>
    <brk id="299" max="9" man="1"/>
    <brk id="355"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3">
    <pageSetUpPr autoPageBreaks="0"/>
  </sheetPr>
  <dimension ref="A1:M176"/>
  <sheetViews>
    <sheetView showGridLines="0" topLeftCell="A109" zoomScaleNormal="100" workbookViewId="0">
      <selection activeCell="R24" sqref="R24"/>
    </sheetView>
  </sheetViews>
  <sheetFormatPr defaultColWidth="9.6640625" defaultRowHeight="12.75"/>
  <cols>
    <col min="1" max="1" width="3.6640625" style="101" customWidth="1"/>
    <col min="2" max="2" width="1.6640625" style="101" customWidth="1"/>
    <col min="3" max="3" width="14.83203125" style="103" customWidth="1"/>
    <col min="4" max="4" width="20.83203125" style="103" customWidth="1"/>
    <col min="5" max="5" width="20" style="103" customWidth="1"/>
    <col min="6" max="6" width="18.33203125" style="103" customWidth="1"/>
    <col min="7" max="7" width="23.5" style="103" bestFit="1" customWidth="1"/>
    <col min="8" max="8" width="13.6640625" style="103" customWidth="1"/>
    <col min="9" max="9" width="8" style="103" customWidth="1"/>
    <col min="10" max="10" width="3.5" style="103" customWidth="1"/>
    <col min="11" max="11" width="24.6640625" style="103" customWidth="1"/>
    <col min="12" max="16384" width="9.6640625" style="103"/>
  </cols>
  <sheetData>
    <row r="1" spans="1:13" s="85" customFormat="1">
      <c r="A1" s="63" t="str">
        <f>'1. Description'!A1</f>
        <v>One Stop2000 Affordable Housing Finance Application [Version 1.21] ©</v>
      </c>
      <c r="B1" s="52"/>
      <c r="C1" s="80"/>
      <c r="D1" s="80"/>
      <c r="E1" s="80"/>
      <c r="F1" s="80"/>
      <c r="G1" s="80"/>
      <c r="H1" s="80"/>
      <c r="I1" s="119" t="s">
        <v>1077</v>
      </c>
      <c r="J1" s="80"/>
    </row>
    <row r="2" spans="1:13" s="70" customFormat="1" ht="26.25">
      <c r="A2" s="243" t="s">
        <v>1078</v>
      </c>
      <c r="B2" s="244"/>
      <c r="C2" s="68"/>
      <c r="D2" s="68"/>
      <c r="E2" s="68"/>
      <c r="F2" s="69"/>
      <c r="G2" s="69"/>
      <c r="H2" s="68"/>
      <c r="I2" s="68"/>
      <c r="J2" s="68"/>
    </row>
    <row r="3" spans="1:13" s="70" customFormat="1" ht="26.25">
      <c r="A3" s="245" t="s">
        <v>1079</v>
      </c>
      <c r="B3" s="244"/>
      <c r="C3" s="68"/>
      <c r="D3" s="68"/>
      <c r="E3" s="68"/>
      <c r="F3" s="68"/>
      <c r="G3" s="68"/>
      <c r="H3" s="68"/>
      <c r="I3" s="68"/>
      <c r="J3" s="68"/>
    </row>
    <row r="4" spans="1:13" s="85" customFormat="1" ht="13.5" thickBot="1">
      <c r="A4" s="52"/>
      <c r="B4" s="52"/>
      <c r="C4" s="80"/>
      <c r="D4" s="80"/>
      <c r="E4" s="80"/>
      <c r="F4" s="80"/>
      <c r="G4" s="80"/>
      <c r="H4" s="80"/>
      <c r="I4" s="80"/>
      <c r="J4" s="80"/>
    </row>
    <row r="5" spans="1:13">
      <c r="A5" s="246"/>
      <c r="B5" s="141"/>
      <c r="C5" s="247"/>
      <c r="D5" s="247"/>
      <c r="E5" s="247"/>
      <c r="F5" s="247"/>
      <c r="G5" s="247"/>
      <c r="H5" s="247"/>
      <c r="I5" s="247"/>
      <c r="J5" s="248"/>
    </row>
    <row r="6" spans="1:13" s="78" customFormat="1" ht="15.75">
      <c r="A6" s="161">
        <f>'1. Description'!A350+1</f>
        <v>62</v>
      </c>
      <c r="B6" s="52" t="s">
        <v>636</v>
      </c>
      <c r="C6" s="144" t="s">
        <v>1428</v>
      </c>
      <c r="D6" s="405"/>
      <c r="E6"/>
      <c r="F6" s="1210" t="s">
        <v>348</v>
      </c>
      <c r="G6" s="1211"/>
      <c r="H6" s="1211"/>
      <c r="I6" s="1212"/>
      <c r="J6" s="251"/>
      <c r="L6" s="103"/>
      <c r="M6" s="103"/>
    </row>
    <row r="7" spans="1:13" s="84" customFormat="1" ht="15">
      <c r="A7" s="161"/>
      <c r="B7" s="52"/>
      <c r="C7" s="250"/>
      <c r="D7" s="250"/>
      <c r="E7"/>
      <c r="F7"/>
      <c r="G7"/>
      <c r="H7"/>
      <c r="I7" s="87"/>
      <c r="J7" s="213"/>
    </row>
    <row r="8" spans="1:13" s="84" customFormat="1" ht="15">
      <c r="A8" s="161"/>
      <c r="B8" s="52"/>
      <c r="C8" s="250"/>
      <c r="D8" s="250"/>
      <c r="E8" s="250"/>
      <c r="F8" s="250"/>
      <c r="G8" s="250"/>
      <c r="H8" s="250"/>
      <c r="I8" s="87"/>
      <c r="J8" s="213"/>
    </row>
    <row r="9" spans="1:13" s="84" customFormat="1" ht="15">
      <c r="A9" s="161"/>
      <c r="B9" s="52"/>
      <c r="C9" s="250"/>
      <c r="D9" s="250"/>
      <c r="E9" s="250"/>
      <c r="F9" s="250"/>
      <c r="G9" s="250"/>
      <c r="H9" s="250"/>
      <c r="I9" s="87"/>
      <c r="J9" s="213"/>
    </row>
    <row r="10" spans="1:13" s="84" customFormat="1" ht="15">
      <c r="A10" s="161"/>
      <c r="B10" s="52"/>
      <c r="C10" s="250"/>
      <c r="D10" s="250"/>
      <c r="E10" s="250"/>
      <c r="F10" s="250"/>
      <c r="G10" s="250"/>
      <c r="H10" s="250"/>
      <c r="I10" s="87"/>
      <c r="J10" s="213"/>
    </row>
    <row r="11" spans="1:13" s="84" customFormat="1" ht="15">
      <c r="A11" s="161"/>
      <c r="B11" s="52"/>
      <c r="C11" s="250"/>
      <c r="D11" s="250"/>
      <c r="E11" s="250"/>
      <c r="F11" s="250"/>
      <c r="G11" s="250"/>
      <c r="H11" s="250"/>
      <c r="I11" s="87"/>
      <c r="J11" s="213"/>
    </row>
    <row r="12" spans="1:13">
      <c r="A12" s="161"/>
      <c r="B12" s="52"/>
      <c r="C12" s="252"/>
      <c r="D12" s="252"/>
      <c r="E12" s="252"/>
      <c r="F12" s="252"/>
      <c r="G12" s="252"/>
      <c r="H12" s="252"/>
      <c r="I12" s="252"/>
      <c r="J12" s="253"/>
    </row>
    <row r="13" spans="1:13" s="65" customFormat="1">
      <c r="A13" s="161"/>
      <c r="B13" s="52"/>
      <c r="C13" s="67"/>
      <c r="D13" s="67"/>
      <c r="E13" s="64"/>
      <c r="F13" s="64"/>
      <c r="G13" s="64"/>
      <c r="H13" s="64"/>
      <c r="I13" s="64"/>
      <c r="J13" s="93"/>
    </row>
    <row r="14" spans="1:13" s="78" customFormat="1" ht="15.75">
      <c r="A14" s="116">
        <f>A6+1</f>
        <v>63</v>
      </c>
      <c r="B14" s="52" t="s">
        <v>636</v>
      </c>
      <c r="C14" s="144" t="s">
        <v>1080</v>
      </c>
      <c r="D14" s="249"/>
      <c r="E14" s="249"/>
      <c r="F14" s="249"/>
      <c r="G14" s="249"/>
      <c r="H14" s="249"/>
      <c r="I14" s="249"/>
      <c r="J14" s="251"/>
    </row>
    <row r="15" spans="1:13" s="84" customFormat="1" ht="15">
      <c r="A15" s="161"/>
      <c r="B15" s="52"/>
      <c r="C15" s="87"/>
      <c r="D15" s="87" t="s">
        <v>1084</v>
      </c>
      <c r="E15" s="87"/>
      <c r="F15" s="1265"/>
      <c r="G15" s="1229"/>
      <c r="H15" s="1229"/>
      <c r="I15" s="1266"/>
      <c r="J15" s="89"/>
    </row>
    <row r="16" spans="1:13" s="84" customFormat="1" ht="15">
      <c r="A16" s="161"/>
      <c r="B16" s="52"/>
      <c r="C16" s="87"/>
      <c r="D16" s="87" t="s">
        <v>1085</v>
      </c>
      <c r="E16" s="87"/>
      <c r="F16" s="1265"/>
      <c r="G16" s="1229"/>
      <c r="H16" s="1229"/>
      <c r="I16" s="1266"/>
      <c r="J16" s="89"/>
    </row>
    <row r="17" spans="1:12" s="84" customFormat="1" ht="15">
      <c r="A17" s="161"/>
      <c r="B17" s="52"/>
      <c r="C17" s="87"/>
      <c r="D17" s="87" t="s">
        <v>1086</v>
      </c>
      <c r="E17" s="87"/>
      <c r="F17" s="1265"/>
      <c r="G17" s="1229"/>
      <c r="H17" s="1229"/>
      <c r="I17" s="1266"/>
      <c r="J17" s="89"/>
    </row>
    <row r="18" spans="1:12" s="84" customFormat="1" ht="15">
      <c r="A18" s="161"/>
      <c r="B18" s="52"/>
      <c r="C18" s="87"/>
      <c r="D18" s="87"/>
      <c r="E18" s="87"/>
      <c r="F18" s="1265"/>
      <c r="G18" s="1229"/>
      <c r="H18" s="1229"/>
      <c r="I18" s="1266"/>
      <c r="J18" s="89"/>
    </row>
    <row r="19" spans="1:12" s="84" customFormat="1" ht="15">
      <c r="A19" s="161"/>
      <c r="B19" s="52"/>
      <c r="C19" s="87"/>
      <c r="D19" s="87" t="s">
        <v>1087</v>
      </c>
      <c r="E19" s="87"/>
      <c r="F19" s="1265"/>
      <c r="G19" s="1229"/>
      <c r="H19" s="1229"/>
      <c r="I19" s="1266"/>
      <c r="J19" s="89"/>
    </row>
    <row r="20" spans="1:12" s="84" customFormat="1" ht="15">
      <c r="A20" s="161"/>
      <c r="B20" s="52"/>
      <c r="C20" s="87"/>
      <c r="D20" s="87"/>
      <c r="E20" s="87"/>
      <c r="F20" s="1263"/>
      <c r="G20" s="1264"/>
      <c r="H20" s="1263"/>
      <c r="I20" s="1264"/>
      <c r="J20" s="89"/>
    </row>
    <row r="21" spans="1:12" ht="15">
      <c r="A21" s="161"/>
      <c r="B21" s="52"/>
      <c r="C21" s="252"/>
      <c r="D21" s="87" t="s">
        <v>742</v>
      </c>
      <c r="E21" s="252"/>
      <c r="F21" s="1281"/>
      <c r="G21" s="1229"/>
      <c r="H21" s="1229"/>
      <c r="I21" s="1266"/>
      <c r="J21" s="253"/>
      <c r="K21" s="254"/>
      <c r="L21" s="255"/>
    </row>
    <row r="22" spans="1:12" s="78" customFormat="1" ht="15.75">
      <c r="A22" s="161">
        <f>A14+1</f>
        <v>64</v>
      </c>
      <c r="B22" s="52" t="s">
        <v>636</v>
      </c>
      <c r="C22" s="144" t="s">
        <v>1089</v>
      </c>
      <c r="D22" s="249"/>
      <c r="E22" s="249"/>
      <c r="F22" s="249"/>
      <c r="G22" s="249"/>
      <c r="H22" s="249"/>
      <c r="I22" s="249"/>
      <c r="J22" s="251"/>
    </row>
    <row r="23" spans="1:12" s="84" customFormat="1" ht="15">
      <c r="A23" s="161"/>
      <c r="B23" s="52"/>
      <c r="C23" s="87"/>
      <c r="D23" s="87" t="s">
        <v>1085</v>
      </c>
      <c r="E23" s="87"/>
      <c r="F23" s="1265"/>
      <c r="G23" s="1229"/>
      <c r="H23" s="1229"/>
      <c r="I23" s="1266"/>
      <c r="J23" s="89"/>
    </row>
    <row r="24" spans="1:12" s="84" customFormat="1" ht="15">
      <c r="A24" s="161"/>
      <c r="B24" s="52"/>
      <c r="C24" s="87"/>
      <c r="D24" s="87" t="s">
        <v>1086</v>
      </c>
      <c r="E24" s="87"/>
      <c r="F24" s="1265"/>
      <c r="G24" s="1229"/>
      <c r="H24" s="1229"/>
      <c r="I24" s="1266"/>
      <c r="J24" s="89"/>
    </row>
    <row r="25" spans="1:12" s="84" customFormat="1" ht="15">
      <c r="A25" s="161"/>
      <c r="B25" s="52"/>
      <c r="C25" s="87"/>
      <c r="D25" s="87"/>
      <c r="E25" s="87"/>
      <c r="F25" s="1217"/>
      <c r="G25" s="1229"/>
      <c r="H25" s="1267"/>
      <c r="I25" s="1268"/>
      <c r="J25" s="89"/>
    </row>
    <row r="26" spans="1:12" s="84" customFormat="1" ht="15">
      <c r="A26" s="161"/>
      <c r="B26" s="52"/>
      <c r="C26" s="87"/>
      <c r="D26" s="87" t="s">
        <v>311</v>
      </c>
      <c r="E26" s="87"/>
      <c r="F26" s="928" t="s">
        <v>325</v>
      </c>
      <c r="G26" s="929" t="s">
        <v>702</v>
      </c>
      <c r="H26" s="1282"/>
      <c r="I26" s="1282"/>
      <c r="J26" s="89"/>
    </row>
    <row r="27" spans="1:12" s="84" customFormat="1" ht="15">
      <c r="A27" s="161"/>
      <c r="B27" s="52"/>
      <c r="C27" s="87"/>
      <c r="D27" s="87" t="s">
        <v>1101</v>
      </c>
      <c r="E27" s="87"/>
      <c r="F27" s="1227"/>
      <c r="G27" s="1229"/>
      <c r="H27" s="1228"/>
      <c r="I27" s="1284"/>
      <c r="J27" s="89"/>
    </row>
    <row r="28" spans="1:12" s="84" customFormat="1" ht="15">
      <c r="A28" s="161"/>
      <c r="B28" s="52"/>
      <c r="C28" s="87"/>
      <c r="D28" s="87" t="s">
        <v>1101</v>
      </c>
      <c r="E28" s="87"/>
      <c r="F28" s="1265"/>
      <c r="G28" s="1229"/>
      <c r="H28" s="1229"/>
      <c r="I28" s="1266"/>
      <c r="J28" s="89"/>
    </row>
    <row r="29" spans="1:12" s="84" customFormat="1" ht="15">
      <c r="A29" s="161"/>
      <c r="B29" s="52"/>
      <c r="C29" s="87"/>
      <c r="D29" s="87" t="s">
        <v>1087</v>
      </c>
      <c r="E29" s="87"/>
      <c r="F29" s="1265"/>
      <c r="G29" s="1229"/>
      <c r="H29" s="1229"/>
      <c r="I29" s="1266"/>
      <c r="J29" s="89"/>
    </row>
    <row r="30" spans="1:12" s="84" customFormat="1" ht="15">
      <c r="A30" s="161"/>
      <c r="B30" s="52"/>
      <c r="C30" s="87"/>
      <c r="D30" s="87" t="s">
        <v>1088</v>
      </c>
      <c r="E30" s="87"/>
      <c r="F30" s="1263"/>
      <c r="G30" s="1264"/>
      <c r="H30" s="1265"/>
      <c r="I30" s="1266"/>
      <c r="J30" s="89"/>
    </row>
    <row r="31" spans="1:12" ht="15">
      <c r="A31" s="161"/>
      <c r="B31" s="52"/>
      <c r="C31" s="252"/>
      <c r="D31" s="87" t="s">
        <v>742</v>
      </c>
      <c r="E31" s="252"/>
      <c r="F31" s="1265"/>
      <c r="G31" s="1229"/>
      <c r="H31" s="1229"/>
      <c r="I31" s="1266"/>
      <c r="J31" s="253"/>
    </row>
    <row r="32" spans="1:12" s="78" customFormat="1" ht="15.75">
      <c r="A32" s="161">
        <f>A22+1</f>
        <v>65</v>
      </c>
      <c r="B32" s="52" t="s">
        <v>636</v>
      </c>
      <c r="C32" s="144" t="s">
        <v>1102</v>
      </c>
      <c r="D32" s="249"/>
      <c r="E32" s="249"/>
      <c r="F32" s="249"/>
      <c r="G32" s="249"/>
      <c r="H32" s="249"/>
      <c r="I32" s="249"/>
      <c r="J32" s="251"/>
    </row>
    <row r="33" spans="1:10" s="84" customFormat="1" ht="15">
      <c r="A33" s="161"/>
      <c r="B33" s="52"/>
      <c r="C33" s="87"/>
      <c r="D33" s="87" t="s">
        <v>1085</v>
      </c>
      <c r="E33" s="87"/>
      <c r="F33" s="1265"/>
      <c r="G33" s="1229"/>
      <c r="H33" s="1229"/>
      <c r="I33" s="1266"/>
      <c r="J33" s="89"/>
    </row>
    <row r="34" spans="1:10" s="84" customFormat="1" ht="15">
      <c r="A34" s="161"/>
      <c r="B34" s="52"/>
      <c r="C34" s="87"/>
      <c r="D34" s="87" t="s">
        <v>1086</v>
      </c>
      <c r="E34" s="87"/>
      <c r="F34" s="1265"/>
      <c r="G34" s="1229"/>
      <c r="H34" s="1229"/>
      <c r="I34" s="1266"/>
      <c r="J34" s="89"/>
    </row>
    <row r="35" spans="1:10" s="84" customFormat="1" ht="15">
      <c r="A35" s="161"/>
      <c r="B35" s="52"/>
      <c r="C35" s="87"/>
      <c r="D35" s="87"/>
      <c r="E35" s="87"/>
      <c r="F35" s="1265"/>
      <c r="G35" s="1229"/>
      <c r="H35" s="1229"/>
      <c r="I35" s="1266"/>
      <c r="J35" s="89"/>
    </row>
    <row r="36" spans="1:10" s="84" customFormat="1" ht="15">
      <c r="A36" s="161"/>
      <c r="B36" s="52"/>
      <c r="C36" s="87"/>
      <c r="D36" s="87" t="s">
        <v>311</v>
      </c>
      <c r="E36" s="87"/>
      <c r="F36" s="928" t="s">
        <v>325</v>
      </c>
      <c r="G36" s="929" t="s">
        <v>702</v>
      </c>
      <c r="H36" s="1282"/>
      <c r="I36" s="1282"/>
      <c r="J36" s="89"/>
    </row>
    <row r="37" spans="1:10" s="84" customFormat="1" ht="15">
      <c r="A37" s="161"/>
      <c r="B37" s="52"/>
      <c r="C37" s="87"/>
      <c r="D37" s="87" t="s">
        <v>743</v>
      </c>
      <c r="E37" s="87"/>
      <c r="F37" s="1265"/>
      <c r="G37" s="1229"/>
      <c r="H37" s="1229"/>
      <c r="I37" s="1266"/>
      <c r="J37" s="89"/>
    </row>
    <row r="38" spans="1:10" s="84" customFormat="1" ht="15">
      <c r="A38" s="161"/>
      <c r="B38" s="52"/>
      <c r="C38" s="87"/>
      <c r="D38" s="87" t="s">
        <v>1087</v>
      </c>
      <c r="E38" s="87"/>
      <c r="F38" s="1265"/>
      <c r="G38" s="1229"/>
      <c r="H38" s="1229"/>
      <c r="I38" s="1266"/>
      <c r="J38" s="89"/>
    </row>
    <row r="39" spans="1:10" s="84" customFormat="1" ht="15">
      <c r="A39" s="161"/>
      <c r="B39" s="52"/>
      <c r="C39" s="87"/>
      <c r="D39" s="87" t="s">
        <v>1107</v>
      </c>
      <c r="E39" s="87"/>
      <c r="F39" s="1287"/>
      <c r="G39" s="1291"/>
      <c r="H39" s="1291"/>
      <c r="I39" s="1292"/>
      <c r="J39" s="89"/>
    </row>
    <row r="40" spans="1:10" s="84" customFormat="1" ht="15">
      <c r="A40" s="161"/>
      <c r="B40" s="52"/>
      <c r="C40" s="87"/>
      <c r="D40" s="87" t="s">
        <v>1088</v>
      </c>
      <c r="E40" s="87"/>
      <c r="F40" s="1263"/>
      <c r="G40" s="1264"/>
      <c r="H40" s="1265"/>
      <c r="I40" s="1266"/>
      <c r="J40" s="89"/>
    </row>
    <row r="41" spans="1:10" s="65" customFormat="1" ht="15">
      <c r="A41" s="161"/>
      <c r="B41" s="52"/>
      <c r="C41" s="64"/>
      <c r="D41" s="87" t="s">
        <v>742</v>
      </c>
      <c r="E41" s="252"/>
      <c r="F41" s="1265"/>
      <c r="G41" s="1229"/>
      <c r="H41" s="1229"/>
      <c r="I41" s="1266"/>
      <c r="J41" s="93"/>
    </row>
    <row r="42" spans="1:10">
      <c r="A42" s="161"/>
      <c r="B42" s="52"/>
      <c r="C42" s="252"/>
      <c r="D42" s="252"/>
      <c r="E42" s="252"/>
      <c r="F42" s="252"/>
      <c r="G42" s="252"/>
      <c r="H42" s="252"/>
      <c r="I42" s="252"/>
      <c r="J42" s="253"/>
    </row>
    <row r="43" spans="1:10" s="78" customFormat="1" ht="15.75">
      <c r="A43" s="161">
        <f>A32+1</f>
        <v>66</v>
      </c>
      <c r="B43" s="52" t="s">
        <v>636</v>
      </c>
      <c r="C43" s="144" t="s">
        <v>1102</v>
      </c>
      <c r="D43" s="249"/>
      <c r="E43" s="249"/>
      <c r="F43" s="249"/>
      <c r="G43" s="249"/>
      <c r="H43" s="249"/>
      <c r="I43" s="249"/>
      <c r="J43" s="251"/>
    </row>
    <row r="44" spans="1:10" s="84" customFormat="1" ht="15">
      <c r="A44" s="161"/>
      <c r="B44" s="52"/>
      <c r="C44" s="87"/>
      <c r="D44" s="87" t="s">
        <v>1085</v>
      </c>
      <c r="E44" s="87"/>
      <c r="F44" s="1265"/>
      <c r="G44" s="1229"/>
      <c r="H44" s="1229"/>
      <c r="I44" s="1266"/>
      <c r="J44" s="89"/>
    </row>
    <row r="45" spans="1:10" s="84" customFormat="1" ht="15">
      <c r="A45" s="161"/>
      <c r="B45" s="52"/>
      <c r="C45" s="87"/>
      <c r="D45" s="87" t="s">
        <v>1086</v>
      </c>
      <c r="E45" s="87"/>
      <c r="F45" s="1265"/>
      <c r="G45" s="1229"/>
      <c r="H45" s="1229"/>
      <c r="I45" s="1266"/>
      <c r="J45" s="89"/>
    </row>
    <row r="46" spans="1:10" s="84" customFormat="1" ht="15">
      <c r="A46" s="161"/>
      <c r="B46" s="52"/>
      <c r="C46" s="87"/>
      <c r="D46" s="87"/>
      <c r="E46" s="87"/>
      <c r="F46" s="1265"/>
      <c r="G46" s="1229"/>
      <c r="H46" s="1229"/>
      <c r="I46" s="1266"/>
      <c r="J46" s="89"/>
    </row>
    <row r="47" spans="1:10" s="84" customFormat="1" ht="15">
      <c r="A47" s="161"/>
      <c r="B47" s="52"/>
      <c r="C47" s="87"/>
      <c r="D47" s="87" t="s">
        <v>311</v>
      </c>
      <c r="E47" s="87"/>
      <c r="F47" s="928" t="s">
        <v>325</v>
      </c>
      <c r="G47" s="929" t="s">
        <v>702</v>
      </c>
      <c r="H47" s="1282"/>
      <c r="I47" s="1283"/>
      <c r="J47" s="89"/>
    </row>
    <row r="48" spans="1:10" s="84" customFormat="1" ht="15">
      <c r="A48" s="161"/>
      <c r="B48" s="52"/>
      <c r="C48" s="87"/>
      <c r="D48" s="87" t="s">
        <v>743</v>
      </c>
      <c r="E48" s="87"/>
      <c r="F48" s="1265"/>
      <c r="G48" s="1285"/>
      <c r="H48" s="1285"/>
      <c r="I48" s="1286"/>
      <c r="J48" s="89"/>
    </row>
    <row r="49" spans="1:10" s="84" customFormat="1" ht="15">
      <c r="A49" s="161"/>
      <c r="B49" s="52"/>
      <c r="C49" s="87"/>
      <c r="D49" s="87" t="s">
        <v>1087</v>
      </c>
      <c r="E49" s="87"/>
      <c r="F49" s="1265"/>
      <c r="G49" s="1285"/>
      <c r="H49" s="1285"/>
      <c r="I49" s="1286"/>
      <c r="J49" s="89"/>
    </row>
    <row r="50" spans="1:10" s="84" customFormat="1" ht="15">
      <c r="A50" s="161"/>
      <c r="B50" s="52"/>
      <c r="C50" s="87"/>
      <c r="D50" s="87" t="s">
        <v>1107</v>
      </c>
      <c r="E50" s="87"/>
      <c r="F50" s="1287"/>
      <c r="G50" s="1288"/>
      <c r="H50" s="1288"/>
      <c r="I50" s="1289"/>
      <c r="J50" s="89"/>
    </row>
    <row r="51" spans="1:10" s="84" customFormat="1" ht="15">
      <c r="A51" s="161"/>
      <c r="B51" s="52"/>
      <c r="C51" s="87"/>
      <c r="D51" s="87" t="s">
        <v>1088</v>
      </c>
      <c r="E51" s="87"/>
      <c r="F51" s="1263"/>
      <c r="G51" s="1290"/>
      <c r="H51" s="1265"/>
      <c r="I51" s="1286"/>
      <c r="J51" s="89"/>
    </row>
    <row r="52" spans="1:10" s="65" customFormat="1" ht="15">
      <c r="A52" s="161"/>
      <c r="B52" s="52"/>
      <c r="C52" s="64"/>
      <c r="D52" s="87" t="s">
        <v>742</v>
      </c>
      <c r="E52" s="252"/>
      <c r="F52" s="1265"/>
      <c r="G52" s="1229"/>
      <c r="H52" s="1229"/>
      <c r="I52" s="1266"/>
      <c r="J52" s="93"/>
    </row>
    <row r="53" spans="1:10" s="85" customFormat="1">
      <c r="A53" s="161"/>
      <c r="B53" s="52"/>
      <c r="C53" s="80"/>
      <c r="D53" s="80"/>
      <c r="E53" s="80"/>
      <c r="F53" s="80"/>
      <c r="G53" s="80"/>
      <c r="H53" s="80"/>
      <c r="I53" s="80"/>
      <c r="J53" s="83"/>
    </row>
    <row r="54" spans="1:10" s="85" customFormat="1" ht="12.75" customHeight="1" thickBot="1">
      <c r="A54" s="168"/>
      <c r="B54" s="132"/>
      <c r="C54" s="133"/>
      <c r="D54" s="133"/>
      <c r="E54" s="133"/>
      <c r="F54" s="133"/>
      <c r="G54" s="133"/>
      <c r="H54" s="133"/>
      <c r="I54" s="133"/>
      <c r="J54" s="135"/>
    </row>
    <row r="55" spans="1:10" s="85" customFormat="1" ht="12">
      <c r="A55" s="256"/>
      <c r="B55" s="136">
        <f>PROJNAME</f>
        <v>0</v>
      </c>
      <c r="C55" s="67"/>
      <c r="D55" s="64"/>
      <c r="E55" s="64"/>
      <c r="F55" s="257"/>
      <c r="G55" s="137" t="e">
        <f>'1. Description'!$G$59</f>
        <v>#VALUE!</v>
      </c>
      <c r="H55" s="1189" t="e">
        <f>'1. Description'!$H$59</f>
        <v>#VALUE!</v>
      </c>
      <c r="I55" s="1189"/>
      <c r="J55" s="1189"/>
    </row>
    <row r="56" spans="1:10" s="65" customFormat="1" thickBot="1">
      <c r="A56" s="67" t="s">
        <v>1108</v>
      </c>
      <c r="B56" s="64"/>
      <c r="C56" s="67"/>
      <c r="D56" s="64"/>
      <c r="E56" s="64"/>
      <c r="F56" s="64"/>
      <c r="G56" s="64"/>
      <c r="H56" s="64"/>
      <c r="I56" s="67" t="s">
        <v>1109</v>
      </c>
      <c r="J56" s="64"/>
    </row>
    <row r="57" spans="1:10">
      <c r="A57" s="246"/>
      <c r="B57" s="141"/>
      <c r="C57" s="247"/>
      <c r="D57" s="247"/>
      <c r="E57" s="247"/>
      <c r="F57" s="247"/>
      <c r="G57" s="247"/>
      <c r="H57" s="247"/>
      <c r="I57" s="247"/>
      <c r="J57" s="248"/>
    </row>
    <row r="58" spans="1:10" s="78" customFormat="1" ht="15.75">
      <c r="A58" s="161">
        <f>A43+1</f>
        <v>67</v>
      </c>
      <c r="B58" s="52" t="s">
        <v>636</v>
      </c>
      <c r="C58" s="144" t="s">
        <v>1110</v>
      </c>
      <c r="D58" s="249"/>
      <c r="E58" s="249"/>
      <c r="F58" s="249"/>
      <c r="G58" s="249"/>
      <c r="H58" s="249"/>
      <c r="I58" s="249"/>
      <c r="J58" s="251"/>
    </row>
    <row r="59" spans="1:10" s="84" customFormat="1" ht="15">
      <c r="A59" s="161"/>
      <c r="B59" s="52"/>
      <c r="C59" s="87"/>
      <c r="D59" s="87" t="s">
        <v>1085</v>
      </c>
      <c r="E59" s="87"/>
      <c r="F59" s="1265"/>
      <c r="G59" s="1229"/>
      <c r="H59" s="1229"/>
      <c r="I59" s="1266"/>
      <c r="J59" s="89"/>
    </row>
    <row r="60" spans="1:10" s="84" customFormat="1" ht="15">
      <c r="A60" s="161"/>
      <c r="B60" s="52"/>
      <c r="C60" s="87"/>
      <c r="D60" s="87" t="s">
        <v>1086</v>
      </c>
      <c r="E60" s="87"/>
      <c r="F60" s="1265"/>
      <c r="G60" s="1229"/>
      <c r="H60" s="1229"/>
      <c r="I60" s="1266"/>
      <c r="J60" s="89"/>
    </row>
    <row r="61" spans="1:10" s="84" customFormat="1" ht="15">
      <c r="A61" s="161"/>
      <c r="B61" s="52"/>
      <c r="C61" s="87"/>
      <c r="D61" s="87"/>
      <c r="E61" s="87"/>
      <c r="F61" s="1265"/>
      <c r="G61" s="1229"/>
      <c r="H61" s="1229"/>
      <c r="I61" s="1266"/>
      <c r="J61" s="89"/>
    </row>
    <row r="62" spans="1:10" s="84" customFormat="1" ht="15">
      <c r="A62" s="161"/>
      <c r="B62" s="52"/>
      <c r="C62" s="87"/>
      <c r="D62" s="87" t="s">
        <v>1087</v>
      </c>
      <c r="E62" s="87"/>
      <c r="F62" s="1265"/>
      <c r="G62" s="1229"/>
      <c r="H62" s="1229"/>
      <c r="I62" s="1266"/>
      <c r="J62" s="89"/>
    </row>
    <row r="63" spans="1:10" s="84" customFormat="1" ht="15">
      <c r="A63" s="161"/>
      <c r="B63" s="52"/>
      <c r="C63" s="87"/>
      <c r="D63" s="87" t="s">
        <v>1088</v>
      </c>
      <c r="E63" s="87"/>
      <c r="F63" s="1263"/>
      <c r="G63" s="1264"/>
      <c r="H63" s="1265"/>
      <c r="I63" s="1266"/>
      <c r="J63" s="89"/>
    </row>
    <row r="64" spans="1:10" s="84" customFormat="1" ht="15">
      <c r="A64" s="161"/>
      <c r="B64" s="52"/>
      <c r="C64" s="87"/>
      <c r="D64" s="87" t="s">
        <v>742</v>
      </c>
      <c r="E64" s="252"/>
      <c r="F64" s="1265"/>
      <c r="G64" s="1229"/>
      <c r="H64" s="1229"/>
      <c r="I64" s="1266"/>
      <c r="J64" s="89"/>
    </row>
    <row r="65" spans="1:10">
      <c r="A65" s="161"/>
      <c r="B65" s="52"/>
      <c r="C65" s="252"/>
      <c r="D65" s="252"/>
      <c r="E65" s="252"/>
      <c r="F65" s="252"/>
      <c r="G65" s="252"/>
      <c r="H65" s="252"/>
      <c r="I65" s="252"/>
      <c r="J65" s="253"/>
    </row>
    <row r="66" spans="1:10" s="78" customFormat="1" ht="15.75">
      <c r="A66" s="161">
        <f>A58+1</f>
        <v>68</v>
      </c>
      <c r="B66" s="52" t="s">
        <v>636</v>
      </c>
      <c r="C66" s="144" t="s">
        <v>1111</v>
      </c>
      <c r="D66" s="249"/>
      <c r="E66" s="249"/>
      <c r="F66" s="249"/>
      <c r="G66" s="249"/>
      <c r="H66" s="249"/>
      <c r="I66" s="249"/>
      <c r="J66" s="251"/>
    </row>
    <row r="67" spans="1:10" s="84" customFormat="1" ht="15">
      <c r="A67" s="161"/>
      <c r="B67" s="52"/>
      <c r="C67" s="87"/>
      <c r="D67" s="87" t="s">
        <v>1112</v>
      </c>
      <c r="E67" s="87"/>
      <c r="F67" s="1265"/>
      <c r="G67" s="1229"/>
      <c r="H67" s="1229"/>
      <c r="I67" s="1266"/>
      <c r="J67" s="89"/>
    </row>
    <row r="68" spans="1:10" s="84" customFormat="1" ht="15">
      <c r="A68" s="161"/>
      <c r="B68" s="52"/>
      <c r="C68" s="87"/>
      <c r="D68" s="87" t="s">
        <v>1086</v>
      </c>
      <c r="E68" s="87"/>
      <c r="F68" s="1265"/>
      <c r="G68" s="1229"/>
      <c r="H68" s="1229"/>
      <c r="I68" s="1266"/>
      <c r="J68" s="89"/>
    </row>
    <row r="69" spans="1:10" s="84" customFormat="1" ht="15">
      <c r="A69" s="161"/>
      <c r="B69" s="52"/>
      <c r="C69" s="87"/>
      <c r="D69" s="87"/>
      <c r="E69" s="87"/>
      <c r="F69" s="1265"/>
      <c r="G69" s="1229"/>
      <c r="H69" s="1229"/>
      <c r="I69" s="1266"/>
      <c r="J69" s="89"/>
    </row>
    <row r="70" spans="1:10" s="84" customFormat="1" ht="15">
      <c r="A70" s="161"/>
      <c r="B70" s="52"/>
      <c r="C70" s="87"/>
      <c r="D70" s="87" t="s">
        <v>1113</v>
      </c>
      <c r="E70" s="87"/>
      <c r="F70" s="1265"/>
      <c r="G70" s="1229"/>
      <c r="H70" s="1229"/>
      <c r="I70" s="1266"/>
      <c r="J70" s="89"/>
    </row>
    <row r="71" spans="1:10" s="84" customFormat="1" ht="15">
      <c r="A71" s="161"/>
      <c r="B71" s="52"/>
      <c r="C71" s="87"/>
      <c r="D71" s="87" t="s">
        <v>1087</v>
      </c>
      <c r="E71" s="87"/>
      <c r="F71" s="1265"/>
      <c r="G71" s="1229"/>
      <c r="H71" s="1229"/>
      <c r="I71" s="1266"/>
      <c r="J71" s="89"/>
    </row>
    <row r="72" spans="1:10" s="84" customFormat="1" ht="15">
      <c r="A72" s="161"/>
      <c r="B72" s="52"/>
      <c r="C72" s="87"/>
      <c r="D72" s="87" t="s">
        <v>1088</v>
      </c>
      <c r="E72" s="87"/>
      <c r="F72" s="1263"/>
      <c r="G72" s="1264"/>
      <c r="H72" s="1265"/>
      <c r="I72" s="1266"/>
      <c r="J72" s="89"/>
    </row>
    <row r="73" spans="1:10" s="84" customFormat="1" ht="15">
      <c r="A73" s="161"/>
      <c r="B73" s="52"/>
      <c r="C73" s="87"/>
      <c r="D73" s="87" t="s">
        <v>742</v>
      </c>
      <c r="E73" s="252"/>
      <c r="F73" s="1265"/>
      <c r="G73" s="1229"/>
      <c r="H73" s="1229"/>
      <c r="I73" s="1266"/>
      <c r="J73" s="89"/>
    </row>
    <row r="74" spans="1:10">
      <c r="A74" s="161"/>
      <c r="B74" s="52"/>
      <c r="C74" s="252"/>
      <c r="D74" s="252"/>
      <c r="E74" s="252"/>
      <c r="F74" s="252"/>
      <c r="G74" s="252"/>
      <c r="H74" s="252"/>
      <c r="I74" s="252"/>
      <c r="J74" s="253"/>
    </row>
    <row r="75" spans="1:10" s="78" customFormat="1" ht="15.75">
      <c r="A75" s="161">
        <f>A66+1</f>
        <v>69</v>
      </c>
      <c r="B75" s="52" t="s">
        <v>636</v>
      </c>
      <c r="C75" s="144" t="s">
        <v>1114</v>
      </c>
      <c r="D75" s="249"/>
      <c r="E75" s="249"/>
      <c r="F75" s="249"/>
      <c r="G75" s="249"/>
      <c r="H75" s="249"/>
      <c r="I75" s="249"/>
      <c r="J75" s="251"/>
    </row>
    <row r="76" spans="1:10" s="84" customFormat="1" ht="15">
      <c r="A76" s="161"/>
      <c r="B76" s="52"/>
      <c r="C76" s="87"/>
      <c r="D76" s="87" t="s">
        <v>1112</v>
      </c>
      <c r="E76" s="87"/>
      <c r="F76" s="1265"/>
      <c r="G76" s="1229"/>
      <c r="H76" s="1229"/>
      <c r="I76" s="1266"/>
      <c r="J76" s="89"/>
    </row>
    <row r="77" spans="1:10" s="84" customFormat="1" ht="15">
      <c r="A77" s="161"/>
      <c r="B77" s="52"/>
      <c r="C77" s="87"/>
      <c r="D77" s="87" t="s">
        <v>1086</v>
      </c>
      <c r="E77" s="87"/>
      <c r="F77" s="1265"/>
      <c r="G77" s="1229"/>
      <c r="H77" s="1229"/>
      <c r="I77" s="1266"/>
      <c r="J77" s="89"/>
    </row>
    <row r="78" spans="1:10" s="84" customFormat="1" ht="15">
      <c r="A78" s="161"/>
      <c r="B78" s="52"/>
      <c r="C78" s="87"/>
      <c r="D78" s="87"/>
      <c r="E78" s="87"/>
      <c r="F78" s="1265"/>
      <c r="G78" s="1229"/>
      <c r="H78" s="1229"/>
      <c r="I78" s="1266"/>
      <c r="J78" s="89"/>
    </row>
    <row r="79" spans="1:10" s="84" customFormat="1" ht="15">
      <c r="A79" s="161"/>
      <c r="B79" s="52"/>
      <c r="C79" s="87"/>
      <c r="D79" s="87" t="s">
        <v>1087</v>
      </c>
      <c r="E79" s="87"/>
      <c r="F79" s="1265"/>
      <c r="G79" s="1229"/>
      <c r="H79" s="1229"/>
      <c r="I79" s="1266"/>
      <c r="J79" s="89"/>
    </row>
    <row r="80" spans="1:10" s="84" customFormat="1" ht="15">
      <c r="A80" s="161"/>
      <c r="B80" s="52"/>
      <c r="C80" s="87"/>
      <c r="D80" s="87" t="s">
        <v>1088</v>
      </c>
      <c r="E80" s="87"/>
      <c r="F80" s="1263"/>
      <c r="G80" s="1264"/>
      <c r="H80" s="1265"/>
      <c r="I80" s="1266"/>
      <c r="J80" s="89"/>
    </row>
    <row r="81" spans="1:10" s="84" customFormat="1" ht="15">
      <c r="A81" s="161"/>
      <c r="B81" s="52"/>
      <c r="C81" s="87"/>
      <c r="D81" s="87" t="s">
        <v>742</v>
      </c>
      <c r="E81" s="252"/>
      <c r="F81" s="262"/>
      <c r="G81" s="15"/>
      <c r="H81" s="263"/>
      <c r="I81" s="264"/>
      <c r="J81" s="89"/>
    </row>
    <row r="82" spans="1:10">
      <c r="A82" s="161"/>
      <c r="B82" s="52"/>
      <c r="C82" s="252"/>
      <c r="D82" s="252"/>
      <c r="E82" s="252"/>
      <c r="F82" s="252"/>
      <c r="G82" s="252"/>
      <c r="H82" s="252"/>
      <c r="I82" s="252"/>
      <c r="J82" s="253"/>
    </row>
    <row r="83" spans="1:10" s="78" customFormat="1" ht="15.75">
      <c r="A83" s="161">
        <f>A75+1</f>
        <v>70</v>
      </c>
      <c r="B83" s="52" t="s">
        <v>636</v>
      </c>
      <c r="C83" s="144" t="s">
        <v>1115</v>
      </c>
      <c r="D83" s="249"/>
      <c r="E83" s="249"/>
      <c r="F83" s="249"/>
      <c r="G83" s="249"/>
      <c r="H83" s="249"/>
      <c r="I83" s="249"/>
      <c r="J83" s="251"/>
    </row>
    <row r="84" spans="1:10" s="84" customFormat="1" ht="15">
      <c r="A84" s="161"/>
      <c r="B84" s="52"/>
      <c r="C84" s="87"/>
      <c r="D84" s="87" t="s">
        <v>1112</v>
      </c>
      <c r="E84" s="87"/>
      <c r="F84" s="1265"/>
      <c r="G84" s="1229"/>
      <c r="H84" s="1229"/>
      <c r="I84" s="1266"/>
      <c r="J84" s="89"/>
    </row>
    <row r="85" spans="1:10" s="84" customFormat="1" ht="15">
      <c r="A85" s="161"/>
      <c r="B85" s="52"/>
      <c r="C85" s="87"/>
      <c r="D85" s="87" t="s">
        <v>1086</v>
      </c>
      <c r="E85" s="87"/>
      <c r="F85" s="1265"/>
      <c r="G85" s="1229"/>
      <c r="H85" s="1229"/>
      <c r="I85" s="1266"/>
      <c r="J85" s="89"/>
    </row>
    <row r="86" spans="1:10" s="84" customFormat="1" ht="15">
      <c r="A86" s="161"/>
      <c r="B86" s="52"/>
      <c r="C86" s="87"/>
      <c r="D86" s="87"/>
      <c r="E86" s="87"/>
      <c r="F86" s="1265"/>
      <c r="G86" s="1229"/>
      <c r="H86" s="1229"/>
      <c r="I86" s="1266"/>
      <c r="J86" s="89"/>
    </row>
    <row r="87" spans="1:10" s="84" customFormat="1" ht="15">
      <c r="A87" s="161"/>
      <c r="B87" s="52"/>
      <c r="C87" s="87"/>
      <c r="D87" s="87" t="s">
        <v>1087</v>
      </c>
      <c r="E87" s="87"/>
      <c r="F87" s="1265"/>
      <c r="G87" s="1229"/>
      <c r="H87" s="1229"/>
      <c r="I87" s="1266"/>
      <c r="J87" s="89"/>
    </row>
    <row r="88" spans="1:10" s="84" customFormat="1" ht="15">
      <c r="A88" s="161"/>
      <c r="B88" s="52"/>
      <c r="C88" s="87"/>
      <c r="D88" s="87" t="s">
        <v>1088</v>
      </c>
      <c r="E88" s="87"/>
      <c r="F88" s="1263"/>
      <c r="G88" s="1264"/>
      <c r="H88" s="1265"/>
      <c r="I88" s="1266"/>
      <c r="J88" s="89"/>
    </row>
    <row r="89" spans="1:10" s="84" customFormat="1" ht="15">
      <c r="A89" s="161"/>
      <c r="B89" s="52"/>
      <c r="C89" s="87"/>
      <c r="D89" s="87" t="s">
        <v>742</v>
      </c>
      <c r="E89" s="252"/>
      <c r="F89" s="1265"/>
      <c r="G89" s="1229"/>
      <c r="H89" s="1229"/>
      <c r="I89" s="1266"/>
      <c r="J89" s="89"/>
    </row>
    <row r="90" spans="1:10">
      <c r="A90" s="161"/>
      <c r="B90" s="52"/>
      <c r="C90" s="252"/>
      <c r="D90" s="252"/>
      <c r="E90" s="252"/>
      <c r="F90" s="252"/>
      <c r="G90" s="252"/>
      <c r="H90" s="252"/>
      <c r="I90" s="252"/>
      <c r="J90" s="253"/>
    </row>
    <row r="91" spans="1:10" s="78" customFormat="1" ht="15.75">
      <c r="A91" s="161">
        <f>A83+1</f>
        <v>71</v>
      </c>
      <c r="B91" s="52" t="s">
        <v>636</v>
      </c>
      <c r="C91" s="144" t="s">
        <v>1116</v>
      </c>
      <c r="D91" s="249"/>
      <c r="E91" s="249"/>
      <c r="F91" s="249"/>
      <c r="G91" s="249"/>
      <c r="H91" s="249"/>
      <c r="I91" s="249"/>
      <c r="J91" s="251"/>
    </row>
    <row r="92" spans="1:10" s="84" customFormat="1" ht="15">
      <c r="A92" s="161"/>
      <c r="B92" s="52"/>
      <c r="C92" s="87"/>
      <c r="D92" s="87" t="s">
        <v>1112</v>
      </c>
      <c r="E92" s="87"/>
      <c r="F92" s="1265"/>
      <c r="G92" s="1229"/>
      <c r="H92" s="1229"/>
      <c r="I92" s="1266"/>
      <c r="J92" s="89"/>
    </row>
    <row r="93" spans="1:10" s="84" customFormat="1" ht="15">
      <c r="A93" s="161"/>
      <c r="B93" s="52"/>
      <c r="C93" s="87"/>
      <c r="D93" s="87" t="s">
        <v>1086</v>
      </c>
      <c r="E93" s="87"/>
      <c r="F93" s="1265"/>
      <c r="G93" s="1229"/>
      <c r="H93" s="1229"/>
      <c r="I93" s="1266"/>
      <c r="J93" s="89"/>
    </row>
    <row r="94" spans="1:10" s="84" customFormat="1" ht="15">
      <c r="A94" s="161"/>
      <c r="B94" s="52"/>
      <c r="C94" s="87"/>
      <c r="D94" s="87"/>
      <c r="E94" s="87"/>
      <c r="F94" s="1265"/>
      <c r="G94" s="1229"/>
      <c r="H94" s="1229"/>
      <c r="I94" s="1266"/>
      <c r="J94" s="89"/>
    </row>
    <row r="95" spans="1:10" s="84" customFormat="1" ht="15">
      <c r="A95" s="161"/>
      <c r="B95" s="52"/>
      <c r="C95" s="87"/>
      <c r="D95" s="87" t="s">
        <v>1087</v>
      </c>
      <c r="E95" s="87"/>
      <c r="F95" s="1265"/>
      <c r="G95" s="1229"/>
      <c r="H95" s="1229"/>
      <c r="I95" s="1266"/>
      <c r="J95" s="89"/>
    </row>
    <row r="96" spans="1:10" s="84" customFormat="1" ht="15">
      <c r="A96" s="161"/>
      <c r="B96" s="52"/>
      <c r="C96" s="87"/>
      <c r="D96" s="87" t="s">
        <v>1088</v>
      </c>
      <c r="E96" s="87"/>
      <c r="F96" s="1263"/>
      <c r="G96" s="1264"/>
      <c r="H96" s="1265"/>
      <c r="I96" s="1266"/>
      <c r="J96" s="89"/>
    </row>
    <row r="97" spans="1:10" s="84" customFormat="1" ht="15">
      <c r="A97" s="161"/>
      <c r="B97" s="52"/>
      <c r="C97" s="87"/>
      <c r="D97" s="87" t="s">
        <v>742</v>
      </c>
      <c r="E97" s="252"/>
      <c r="F97" s="1265"/>
      <c r="G97" s="1229"/>
      <c r="H97" s="1229"/>
      <c r="I97" s="1266"/>
      <c r="J97" s="89"/>
    </row>
    <row r="98" spans="1:10">
      <c r="A98" s="161"/>
      <c r="B98" s="52"/>
      <c r="C98" s="252"/>
      <c r="D98" s="252"/>
      <c r="E98" s="252"/>
      <c r="F98" s="252"/>
      <c r="G98" s="252"/>
      <c r="H98" s="252"/>
      <c r="I98" s="252"/>
      <c r="J98" s="253"/>
    </row>
    <row r="99" spans="1:10" s="78" customFormat="1" ht="15.75">
      <c r="A99" s="161">
        <f>A91+1</f>
        <v>72</v>
      </c>
      <c r="B99" s="52" t="s">
        <v>636</v>
      </c>
      <c r="C99" s="144" t="s">
        <v>1117</v>
      </c>
      <c r="D99" s="249"/>
      <c r="E99" s="249"/>
      <c r="F99" s="249"/>
      <c r="G99" s="249"/>
      <c r="H99" s="249"/>
      <c r="I99" s="249"/>
      <c r="J99" s="251"/>
    </row>
    <row r="100" spans="1:10" s="84" customFormat="1" ht="15">
      <c r="A100" s="161"/>
      <c r="B100" s="52"/>
      <c r="C100" s="87"/>
      <c r="D100" s="87" t="s">
        <v>1112</v>
      </c>
      <c r="E100" s="87"/>
      <c r="F100" s="1265"/>
      <c r="G100" s="1229"/>
      <c r="H100" s="1229"/>
      <c r="I100" s="1266"/>
      <c r="J100" s="89"/>
    </row>
    <row r="101" spans="1:10" s="84" customFormat="1" ht="15">
      <c r="A101" s="161"/>
      <c r="B101" s="52"/>
      <c r="C101" s="87"/>
      <c r="D101" s="87" t="s">
        <v>1086</v>
      </c>
      <c r="E101" s="87"/>
      <c r="F101" s="1265"/>
      <c r="G101" s="1229"/>
      <c r="H101" s="1229"/>
      <c r="I101" s="1266"/>
      <c r="J101" s="89"/>
    </row>
    <row r="102" spans="1:10" s="84" customFormat="1" ht="15">
      <c r="A102" s="161"/>
      <c r="B102" s="52"/>
      <c r="C102" s="87"/>
      <c r="D102" s="87"/>
      <c r="E102" s="87"/>
      <c r="F102" s="1265"/>
      <c r="G102" s="1229"/>
      <c r="H102" s="1229"/>
      <c r="I102" s="1266"/>
      <c r="J102" s="89"/>
    </row>
    <row r="103" spans="1:10" s="84" customFormat="1" ht="15">
      <c r="A103" s="161"/>
      <c r="B103" s="52"/>
      <c r="C103" s="87"/>
      <c r="D103" s="87" t="s">
        <v>1087</v>
      </c>
      <c r="E103" s="87"/>
      <c r="F103" s="1265"/>
      <c r="G103" s="1229"/>
      <c r="H103" s="1229"/>
      <c r="I103" s="1266"/>
      <c r="J103" s="89"/>
    </row>
    <row r="104" spans="1:10" s="84" customFormat="1" ht="15">
      <c r="A104" s="161"/>
      <c r="B104" s="52"/>
      <c r="C104" s="87"/>
      <c r="D104" s="87" t="s">
        <v>1088</v>
      </c>
      <c r="E104" s="87"/>
      <c r="F104" s="1263"/>
      <c r="G104" s="1264"/>
      <c r="H104" s="1265"/>
      <c r="I104" s="1266"/>
      <c r="J104" s="89"/>
    </row>
    <row r="105" spans="1:10" s="84" customFormat="1" ht="15">
      <c r="A105" s="161"/>
      <c r="B105" s="52"/>
      <c r="C105" s="87"/>
      <c r="D105" s="87" t="s">
        <v>742</v>
      </c>
      <c r="E105" s="252"/>
      <c r="F105" s="1265"/>
      <c r="G105" s="1229"/>
      <c r="H105" s="1229"/>
      <c r="I105" s="1266"/>
      <c r="J105" s="89"/>
    </row>
    <row r="106" spans="1:10">
      <c r="A106" s="161"/>
      <c r="B106" s="52"/>
      <c r="C106" s="252"/>
      <c r="D106" s="252"/>
      <c r="E106" s="252"/>
      <c r="F106" s="252"/>
      <c r="G106" s="252"/>
      <c r="H106" s="252"/>
      <c r="I106" s="252"/>
      <c r="J106" s="253"/>
    </row>
    <row r="107" spans="1:10" s="78" customFormat="1" ht="15.75">
      <c r="A107" s="161">
        <f>A99+1</f>
        <v>73</v>
      </c>
      <c r="B107" s="52" t="s">
        <v>636</v>
      </c>
      <c r="C107" s="144" t="s">
        <v>1118</v>
      </c>
      <c r="D107" s="249"/>
      <c r="E107" s="249"/>
      <c r="F107" s="249"/>
      <c r="G107" s="249"/>
      <c r="H107" s="249"/>
      <c r="I107" s="249"/>
      <c r="J107" s="251"/>
    </row>
    <row r="108" spans="1:10" s="84" customFormat="1" ht="15">
      <c r="A108" s="161"/>
      <c r="B108" s="52"/>
      <c r="C108" s="87"/>
      <c r="D108" s="87" t="s">
        <v>1112</v>
      </c>
      <c r="E108" s="87"/>
      <c r="F108" s="1265"/>
      <c r="G108" s="1229"/>
      <c r="H108" s="1229"/>
      <c r="I108" s="1266"/>
      <c r="J108" s="89"/>
    </row>
    <row r="109" spans="1:10" s="84" customFormat="1" ht="15">
      <c r="A109" s="161"/>
      <c r="B109" s="52"/>
      <c r="C109" s="87"/>
      <c r="D109" s="87" t="s">
        <v>1086</v>
      </c>
      <c r="E109" s="87"/>
      <c r="F109" s="1265"/>
      <c r="G109" s="1229"/>
      <c r="H109" s="1229"/>
      <c r="I109" s="1266"/>
      <c r="J109" s="89"/>
    </row>
    <row r="110" spans="1:10" s="84" customFormat="1" ht="15">
      <c r="A110" s="161"/>
      <c r="B110" s="52"/>
      <c r="C110" s="87"/>
      <c r="D110" s="87"/>
      <c r="E110" s="87"/>
      <c r="F110" s="1265"/>
      <c r="G110" s="1229"/>
      <c r="H110" s="1229"/>
      <c r="I110" s="1266"/>
      <c r="J110" s="89"/>
    </row>
    <row r="111" spans="1:10" s="84" customFormat="1" ht="15">
      <c r="A111" s="161"/>
      <c r="B111" s="52"/>
      <c r="C111" s="87"/>
      <c r="D111" s="87" t="s">
        <v>1087</v>
      </c>
      <c r="E111" s="87"/>
      <c r="F111" s="1265"/>
      <c r="G111" s="1229"/>
      <c r="H111" s="1229"/>
      <c r="I111" s="1266"/>
      <c r="J111" s="89"/>
    </row>
    <row r="112" spans="1:10" s="84" customFormat="1" ht="15">
      <c r="A112" s="161"/>
      <c r="B112" s="52"/>
      <c r="C112" s="87"/>
      <c r="D112" s="87" t="s">
        <v>1088</v>
      </c>
      <c r="E112" s="87"/>
      <c r="F112" s="1263"/>
      <c r="G112" s="1264"/>
      <c r="H112" s="1265"/>
      <c r="I112" s="1266"/>
      <c r="J112" s="89"/>
    </row>
    <row r="113" spans="1:10" s="84" customFormat="1" ht="15">
      <c r="A113" s="161"/>
      <c r="B113" s="52"/>
      <c r="C113" s="87"/>
      <c r="D113" s="87" t="s">
        <v>742</v>
      </c>
      <c r="E113" s="252"/>
      <c r="F113" s="1265"/>
      <c r="G113" s="1229"/>
      <c r="H113" s="1229"/>
      <c r="I113" s="1266"/>
      <c r="J113" s="89"/>
    </row>
    <row r="114" spans="1:10">
      <c r="A114" s="161"/>
      <c r="B114" s="52"/>
      <c r="C114" s="252"/>
      <c r="D114" s="252"/>
      <c r="E114" s="252"/>
      <c r="F114" s="252"/>
      <c r="G114" s="252"/>
      <c r="H114" s="252"/>
      <c r="I114" s="252"/>
      <c r="J114" s="253"/>
    </row>
    <row r="115" spans="1:10" ht="13.5" thickBot="1">
      <c r="A115" s="168"/>
      <c r="B115" s="132"/>
      <c r="C115" s="258"/>
      <c r="D115" s="258"/>
      <c r="E115" s="258"/>
      <c r="F115" s="258"/>
      <c r="G115" s="258"/>
      <c r="H115" s="258"/>
      <c r="I115" s="258"/>
      <c r="J115" s="259"/>
    </row>
    <row r="116" spans="1:10">
      <c r="A116" s="52"/>
      <c r="B116" s="136">
        <f>PROJNAME</f>
        <v>0</v>
      </c>
      <c r="C116" s="256"/>
      <c r="D116" s="256"/>
      <c r="E116" s="256"/>
      <c r="F116" s="260"/>
      <c r="G116" s="260" t="e">
        <f>$G$55</f>
        <v>#VALUE!</v>
      </c>
      <c r="H116" s="1280" t="e">
        <f>$H$55</f>
        <v>#VALUE!</v>
      </c>
      <c r="I116" s="1280"/>
      <c r="J116" s="1280"/>
    </row>
    <row r="117" spans="1:10" s="65" customFormat="1" ht="13.5" thickBot="1">
      <c r="A117" s="115" t="s">
        <v>1108</v>
      </c>
      <c r="B117" s="52"/>
      <c r="C117" s="67"/>
      <c r="D117" s="64"/>
      <c r="E117" s="64"/>
      <c r="F117" s="64"/>
      <c r="G117" s="64"/>
      <c r="H117" s="64"/>
      <c r="I117" s="67" t="s">
        <v>1119</v>
      </c>
      <c r="J117" s="64"/>
    </row>
    <row r="118" spans="1:10">
      <c r="A118" s="246"/>
      <c r="B118" s="141"/>
      <c r="C118" s="247"/>
      <c r="D118" s="247"/>
      <c r="E118" s="247"/>
      <c r="F118" s="247"/>
      <c r="G118" s="247"/>
      <c r="H118" s="247"/>
      <c r="I118" s="247"/>
      <c r="J118" s="248"/>
    </row>
    <row r="119" spans="1:10" s="78" customFormat="1" ht="15.75">
      <c r="A119" s="161">
        <f>A107+1</f>
        <v>74</v>
      </c>
      <c r="B119" s="52" t="s">
        <v>636</v>
      </c>
      <c r="C119" s="144" t="s">
        <v>1120</v>
      </c>
      <c r="D119" s="249"/>
      <c r="E119" s="249"/>
      <c r="F119" s="249"/>
      <c r="G119" s="249"/>
      <c r="H119" s="249"/>
      <c r="I119" s="249"/>
      <c r="J119" s="251"/>
    </row>
    <row r="120" spans="1:10" s="84" customFormat="1" ht="15">
      <c r="A120" s="161"/>
      <c r="B120" s="52"/>
      <c r="C120" s="87"/>
      <c r="D120" s="87" t="s">
        <v>1112</v>
      </c>
      <c r="E120" s="87"/>
      <c r="F120" s="1265"/>
      <c r="G120" s="1229"/>
      <c r="H120" s="1229"/>
      <c r="I120" s="1266"/>
      <c r="J120" s="89"/>
    </row>
    <row r="121" spans="1:10" s="84" customFormat="1" ht="15">
      <c r="A121" s="161"/>
      <c r="B121" s="52"/>
      <c r="C121" s="87"/>
      <c r="D121" s="87" t="s">
        <v>1086</v>
      </c>
      <c r="E121" s="87"/>
      <c r="F121" s="1265"/>
      <c r="G121" s="1229"/>
      <c r="H121" s="1229"/>
      <c r="I121" s="1266"/>
      <c r="J121" s="89"/>
    </row>
    <row r="122" spans="1:10" s="84" customFormat="1" ht="15">
      <c r="A122" s="161"/>
      <c r="B122" s="52"/>
      <c r="C122" s="87"/>
      <c r="D122" s="87"/>
      <c r="E122" s="87"/>
      <c r="F122" s="1265"/>
      <c r="G122" s="1229"/>
      <c r="H122" s="1229"/>
      <c r="I122" s="1266"/>
      <c r="J122" s="89"/>
    </row>
    <row r="123" spans="1:10" s="84" customFormat="1" ht="15">
      <c r="A123" s="161"/>
      <c r="B123" s="52"/>
      <c r="C123" s="87"/>
      <c r="D123" s="87" t="s">
        <v>1087</v>
      </c>
      <c r="E123" s="87"/>
      <c r="F123" s="1265"/>
      <c r="G123" s="1229"/>
      <c r="H123" s="1229"/>
      <c r="I123" s="1266"/>
      <c r="J123" s="89"/>
    </row>
    <row r="124" spans="1:10" s="84" customFormat="1" ht="15">
      <c r="A124" s="161"/>
      <c r="B124" s="52"/>
      <c r="C124" s="87"/>
      <c r="D124" s="87" t="s">
        <v>1088</v>
      </c>
      <c r="E124" s="87"/>
      <c r="F124" s="1263"/>
      <c r="G124" s="1264"/>
      <c r="H124" s="1265"/>
      <c r="I124" s="1266"/>
      <c r="J124" s="89"/>
    </row>
    <row r="125" spans="1:10" s="84" customFormat="1" ht="15">
      <c r="A125" s="161"/>
      <c r="B125" s="52"/>
      <c r="C125" s="87"/>
      <c r="D125" s="87" t="s">
        <v>742</v>
      </c>
      <c r="E125" s="252"/>
      <c r="F125" s="1265"/>
      <c r="G125" s="1229"/>
      <c r="H125" s="1229"/>
      <c r="I125" s="1266"/>
      <c r="J125" s="89"/>
    </row>
    <row r="126" spans="1:10">
      <c r="A126" s="161"/>
      <c r="B126" s="52"/>
      <c r="C126" s="252"/>
      <c r="D126" s="252"/>
      <c r="E126" s="252"/>
      <c r="F126" s="252"/>
      <c r="G126" s="252"/>
      <c r="H126" s="252"/>
      <c r="I126" s="252"/>
      <c r="J126" s="253"/>
    </row>
    <row r="127" spans="1:10" s="78" customFormat="1" ht="15.75">
      <c r="A127" s="161">
        <f>A119+1</f>
        <v>75</v>
      </c>
      <c r="B127" s="52" t="s">
        <v>636</v>
      </c>
      <c r="C127" s="144" t="s">
        <v>1121</v>
      </c>
      <c r="D127" s="249"/>
      <c r="E127" s="249"/>
      <c r="F127" s="249"/>
      <c r="G127" s="249"/>
      <c r="H127" s="249"/>
      <c r="I127" s="249"/>
      <c r="J127" s="251"/>
    </row>
    <row r="128" spans="1:10" s="84" customFormat="1" ht="15">
      <c r="A128" s="161"/>
      <c r="B128" s="52"/>
      <c r="C128" s="87"/>
      <c r="D128" s="87" t="s">
        <v>1112</v>
      </c>
      <c r="E128" s="87"/>
      <c r="F128" s="1265" t="s">
        <v>702</v>
      </c>
      <c r="G128" s="1229"/>
      <c r="H128" s="1229"/>
      <c r="I128" s="1266"/>
      <c r="J128" s="89"/>
    </row>
    <row r="129" spans="1:10" s="84" customFormat="1" ht="15">
      <c r="A129" s="161"/>
      <c r="B129" s="52"/>
      <c r="C129" s="87"/>
      <c r="D129" s="87" t="s">
        <v>1086</v>
      </c>
      <c r="E129" s="87"/>
      <c r="F129" s="1265"/>
      <c r="G129" s="1229"/>
      <c r="H129" s="1229"/>
      <c r="I129" s="1266"/>
      <c r="J129" s="89"/>
    </row>
    <row r="130" spans="1:10" s="84" customFormat="1" ht="15">
      <c r="A130" s="161"/>
      <c r="B130" s="52"/>
      <c r="C130" s="87"/>
      <c r="D130" s="87"/>
      <c r="E130" s="87"/>
      <c r="F130" s="1265"/>
      <c r="G130" s="1229"/>
      <c r="H130" s="1229"/>
      <c r="I130" s="1266"/>
      <c r="J130" s="89"/>
    </row>
    <row r="131" spans="1:10" s="84" customFormat="1" ht="15">
      <c r="A131" s="161"/>
      <c r="B131" s="52"/>
      <c r="C131" s="87"/>
      <c r="D131" s="87" t="s">
        <v>1087</v>
      </c>
      <c r="E131" s="87"/>
      <c r="F131" s="1265"/>
      <c r="G131" s="1229"/>
      <c r="H131" s="1229"/>
      <c r="I131" s="1266"/>
      <c r="J131" s="89"/>
    </row>
    <row r="132" spans="1:10" s="84" customFormat="1" ht="15">
      <c r="A132" s="161"/>
      <c r="B132" s="52"/>
      <c r="C132" s="87"/>
      <c r="D132" s="87" t="s">
        <v>1088</v>
      </c>
      <c r="E132" s="87"/>
      <c r="F132" s="1263"/>
      <c r="G132" s="1264"/>
      <c r="H132" s="1265"/>
      <c r="I132" s="1266"/>
      <c r="J132" s="89"/>
    </row>
    <row r="133" spans="1:10" s="84" customFormat="1" ht="15">
      <c r="A133" s="161"/>
      <c r="B133" s="52"/>
      <c r="C133" s="87"/>
      <c r="D133" s="87" t="s">
        <v>742</v>
      </c>
      <c r="E133" s="252"/>
      <c r="F133" s="1265"/>
      <c r="G133" s="1229"/>
      <c r="H133" s="1229"/>
      <c r="I133" s="1266"/>
      <c r="J133" s="89"/>
    </row>
    <row r="134" spans="1:10">
      <c r="A134" s="161"/>
      <c r="B134" s="52"/>
      <c r="C134" s="252"/>
      <c r="D134" s="252"/>
      <c r="E134" s="252"/>
      <c r="F134" s="252"/>
      <c r="G134" s="252"/>
      <c r="H134" s="252"/>
      <c r="I134" s="252"/>
      <c r="J134" s="253"/>
    </row>
    <row r="135" spans="1:10" s="78" customFormat="1" ht="15.75">
      <c r="A135" s="161">
        <f>A127+1</f>
        <v>76</v>
      </c>
      <c r="B135" s="52" t="s">
        <v>636</v>
      </c>
      <c r="C135" s="144" t="s">
        <v>1122</v>
      </c>
      <c r="D135" s="249"/>
      <c r="E135" s="249"/>
      <c r="F135" s="249"/>
      <c r="G135" s="249"/>
      <c r="H135" s="249"/>
      <c r="I135" s="249"/>
      <c r="J135" s="251"/>
    </row>
    <row r="136" spans="1:10" s="84" customFormat="1" ht="15">
      <c r="A136" s="161"/>
      <c r="B136" s="52"/>
      <c r="C136" s="87"/>
      <c r="D136" s="87" t="s">
        <v>1112</v>
      </c>
      <c r="E136" s="87"/>
      <c r="F136" s="1265"/>
      <c r="G136" s="1229"/>
      <c r="H136" s="1229"/>
      <c r="I136" s="1266"/>
      <c r="J136" s="89"/>
    </row>
    <row r="137" spans="1:10" s="84" customFormat="1" ht="15">
      <c r="A137" s="161"/>
      <c r="B137" s="52"/>
      <c r="C137" s="87"/>
      <c r="D137" s="87" t="s">
        <v>1086</v>
      </c>
      <c r="E137" s="87"/>
      <c r="F137" s="1265"/>
      <c r="G137" s="1229"/>
      <c r="H137" s="1229"/>
      <c r="I137" s="1266"/>
      <c r="J137" s="89"/>
    </row>
    <row r="138" spans="1:10" s="84" customFormat="1" ht="15">
      <c r="A138" s="161"/>
      <c r="B138" s="52"/>
      <c r="C138" s="87"/>
      <c r="D138" s="87"/>
      <c r="E138" s="87"/>
      <c r="F138" s="1265"/>
      <c r="G138" s="1229"/>
      <c r="H138" s="1229"/>
      <c r="I138" s="1266"/>
      <c r="J138" s="89"/>
    </row>
    <row r="139" spans="1:10" s="84" customFormat="1" ht="15">
      <c r="A139" s="161"/>
      <c r="B139" s="52"/>
      <c r="C139" s="87"/>
      <c r="D139" s="87" t="s">
        <v>1087</v>
      </c>
      <c r="E139" s="87"/>
      <c r="F139" s="1265"/>
      <c r="G139" s="1229"/>
      <c r="H139" s="1229"/>
      <c r="I139" s="1266"/>
      <c r="J139" s="89"/>
    </row>
    <row r="140" spans="1:10" s="84" customFormat="1" ht="15">
      <c r="A140" s="161"/>
      <c r="B140" s="52"/>
      <c r="C140" s="87"/>
      <c r="D140" s="87" t="s">
        <v>1088</v>
      </c>
      <c r="E140" s="87"/>
      <c r="F140" s="1263"/>
      <c r="G140" s="1264"/>
      <c r="H140" s="1265"/>
      <c r="I140" s="1266"/>
      <c r="J140" s="89"/>
    </row>
    <row r="141" spans="1:10" s="84" customFormat="1" ht="15">
      <c r="A141" s="161"/>
      <c r="B141" s="52"/>
      <c r="C141" s="87"/>
      <c r="D141" s="87" t="s">
        <v>742</v>
      </c>
      <c r="E141" s="252"/>
      <c r="F141" s="1265"/>
      <c r="G141" s="1229"/>
      <c r="H141" s="1229"/>
      <c r="I141" s="1266"/>
      <c r="J141" s="89"/>
    </row>
    <row r="142" spans="1:10">
      <c r="A142" s="161"/>
      <c r="B142" s="52"/>
      <c r="C142" s="252"/>
      <c r="D142" s="252"/>
      <c r="E142" s="252"/>
      <c r="F142" s="252"/>
      <c r="G142" s="252"/>
      <c r="H142" s="252"/>
      <c r="I142" s="252"/>
      <c r="J142" s="253"/>
    </row>
    <row r="143" spans="1:10" s="78" customFormat="1" ht="15.75">
      <c r="A143" s="161">
        <f>A135+1</f>
        <v>77</v>
      </c>
      <c r="B143" s="52" t="s">
        <v>636</v>
      </c>
      <c r="C143" s="1250"/>
      <c r="D143" s="1293"/>
      <c r="E143" s="138"/>
      <c r="F143" s="138"/>
      <c r="G143" s="138"/>
      <c r="H143" s="138"/>
      <c r="I143" s="138"/>
      <c r="J143" s="156"/>
    </row>
    <row r="144" spans="1:10" s="84" customFormat="1" ht="15">
      <c r="A144" s="161"/>
      <c r="B144" s="52"/>
      <c r="C144" s="95" t="s">
        <v>1123</v>
      </c>
      <c r="D144" s="87" t="s">
        <v>1112</v>
      </c>
      <c r="E144" s="87"/>
      <c r="F144" s="1265"/>
      <c r="G144" s="1229"/>
      <c r="H144" s="1229"/>
      <c r="I144" s="1266"/>
      <c r="J144" s="89"/>
    </row>
    <row r="145" spans="1:10" s="84" customFormat="1" ht="15">
      <c r="A145" s="161"/>
      <c r="B145" s="52"/>
      <c r="C145" s="87"/>
      <c r="D145" s="87" t="s">
        <v>1086</v>
      </c>
      <c r="E145" s="87"/>
      <c r="F145" s="1265"/>
      <c r="G145" s="1229"/>
      <c r="H145" s="1229"/>
      <c r="I145" s="1266"/>
      <c r="J145" s="89"/>
    </row>
    <row r="146" spans="1:10" s="84" customFormat="1" ht="15">
      <c r="A146" s="161"/>
      <c r="B146" s="52"/>
      <c r="C146" s="87"/>
      <c r="D146" s="87"/>
      <c r="E146" s="87"/>
      <c r="F146" s="1265"/>
      <c r="G146" s="1229"/>
      <c r="H146" s="1229"/>
      <c r="I146" s="1266"/>
      <c r="J146" s="89"/>
    </row>
    <row r="147" spans="1:10" s="84" customFormat="1" ht="15">
      <c r="A147" s="161"/>
      <c r="B147" s="52"/>
      <c r="C147" s="87"/>
      <c r="D147" s="87" t="s">
        <v>1087</v>
      </c>
      <c r="E147" s="87"/>
      <c r="F147" s="1265"/>
      <c r="G147" s="1229"/>
      <c r="H147" s="1229"/>
      <c r="I147" s="1266"/>
      <c r="J147" s="89"/>
    </row>
    <row r="148" spans="1:10" s="84" customFormat="1" ht="15">
      <c r="A148" s="161"/>
      <c r="B148" s="52"/>
      <c r="C148" s="87"/>
      <c r="D148" s="87" t="s">
        <v>1088</v>
      </c>
      <c r="E148" s="87"/>
      <c r="F148" s="1263"/>
      <c r="G148" s="1264"/>
      <c r="H148" s="1265"/>
      <c r="I148" s="1266"/>
      <c r="J148" s="89"/>
    </row>
    <row r="149" spans="1:10" s="84" customFormat="1" ht="15">
      <c r="A149" s="161"/>
      <c r="B149" s="52"/>
      <c r="C149" s="87"/>
      <c r="D149" s="87" t="s">
        <v>742</v>
      </c>
      <c r="E149" s="252"/>
      <c r="F149" s="1265"/>
      <c r="G149" s="1229"/>
      <c r="H149" s="1229"/>
      <c r="I149" s="1266"/>
      <c r="J149" s="89"/>
    </row>
    <row r="150" spans="1:10">
      <c r="A150" s="161"/>
      <c r="B150" s="52"/>
      <c r="C150" s="252"/>
      <c r="D150" s="252"/>
      <c r="E150" s="252"/>
      <c r="F150" s="252"/>
      <c r="G150" s="252"/>
      <c r="H150" s="252"/>
      <c r="I150" s="252"/>
      <c r="J150" s="253"/>
    </row>
    <row r="151" spans="1:10" s="78" customFormat="1" ht="15.75">
      <c r="A151" s="161">
        <f>A143+1</f>
        <v>78</v>
      </c>
      <c r="B151" s="52" t="s">
        <v>636</v>
      </c>
      <c r="C151" s="1250"/>
      <c r="D151" s="1293"/>
      <c r="E151" s="138"/>
      <c r="F151" s="138"/>
      <c r="G151" s="138"/>
      <c r="H151" s="138"/>
      <c r="I151" s="138"/>
      <c r="J151" s="156"/>
    </row>
    <row r="152" spans="1:10" s="84" customFormat="1" ht="15">
      <c r="A152" s="161"/>
      <c r="B152" s="52"/>
      <c r="C152" s="95" t="s">
        <v>1123</v>
      </c>
      <c r="D152" s="87" t="s">
        <v>1112</v>
      </c>
      <c r="E152" s="87"/>
      <c r="F152" s="1265"/>
      <c r="G152" s="1229"/>
      <c r="H152" s="1229"/>
      <c r="I152" s="1266"/>
      <c r="J152" s="89"/>
    </row>
    <row r="153" spans="1:10" s="84" customFormat="1" ht="15">
      <c r="A153" s="161"/>
      <c r="B153" s="52"/>
      <c r="C153" s="87"/>
      <c r="D153" s="87" t="s">
        <v>1086</v>
      </c>
      <c r="E153" s="87"/>
      <c r="F153" s="1265"/>
      <c r="G153" s="1229"/>
      <c r="H153" s="1229"/>
      <c r="I153" s="1266"/>
      <c r="J153" s="89"/>
    </row>
    <row r="154" spans="1:10" s="84" customFormat="1" ht="15">
      <c r="A154" s="161"/>
      <c r="B154" s="52"/>
      <c r="C154" s="87"/>
      <c r="D154" s="87"/>
      <c r="E154" s="87"/>
      <c r="F154" s="1265"/>
      <c r="G154" s="1229"/>
      <c r="H154" s="1229"/>
      <c r="I154" s="1266"/>
      <c r="J154" s="89"/>
    </row>
    <row r="155" spans="1:10" s="84" customFormat="1" ht="15">
      <c r="A155" s="161"/>
      <c r="B155" s="52"/>
      <c r="C155" s="87"/>
      <c r="D155" s="87" t="s">
        <v>1087</v>
      </c>
      <c r="E155" s="87"/>
      <c r="F155" s="1265"/>
      <c r="G155" s="1229"/>
      <c r="H155" s="1229"/>
      <c r="I155" s="1266"/>
      <c r="J155" s="89"/>
    </row>
    <row r="156" spans="1:10" s="84" customFormat="1" ht="15">
      <c r="A156" s="161"/>
      <c r="B156" s="52"/>
      <c r="C156" s="87"/>
      <c r="D156" s="87" t="s">
        <v>1088</v>
      </c>
      <c r="E156" s="87"/>
      <c r="F156" s="1263"/>
      <c r="G156" s="1264"/>
      <c r="H156" s="1265"/>
      <c r="I156" s="1266"/>
      <c r="J156" s="89"/>
    </row>
    <row r="157" spans="1:10" s="84" customFormat="1" ht="15">
      <c r="A157" s="161"/>
      <c r="B157" s="52"/>
      <c r="C157" s="87"/>
      <c r="D157" s="87" t="s">
        <v>742</v>
      </c>
      <c r="E157" s="252"/>
      <c r="F157" s="1265"/>
      <c r="G157" s="1229"/>
      <c r="H157" s="1229"/>
      <c r="I157" s="1266"/>
      <c r="J157" s="89"/>
    </row>
    <row r="158" spans="1:10">
      <c r="A158" s="161"/>
      <c r="B158" s="52"/>
      <c r="C158" s="252"/>
      <c r="D158" s="252"/>
      <c r="E158" s="252"/>
      <c r="F158" s="252"/>
      <c r="G158" s="252"/>
      <c r="H158" s="252"/>
      <c r="I158" s="252"/>
      <c r="J158" s="253"/>
    </row>
    <row r="159" spans="1:10">
      <c r="A159" s="161"/>
      <c r="B159" s="52"/>
      <c r="C159" s="252"/>
      <c r="D159" s="252"/>
      <c r="E159" s="252"/>
      <c r="F159" s="252"/>
      <c r="G159" s="252"/>
      <c r="H159" s="252"/>
      <c r="I159" s="252"/>
      <c r="J159" s="253"/>
    </row>
    <row r="160" spans="1:10" s="78" customFormat="1" ht="15.75">
      <c r="A160" s="116">
        <f>A151+1</f>
        <v>79</v>
      </c>
      <c r="B160" s="52" t="s">
        <v>636</v>
      </c>
      <c r="C160" s="138" t="s">
        <v>1124</v>
      </c>
      <c r="D160" s="138"/>
      <c r="E160" s="138"/>
      <c r="F160" s="138"/>
      <c r="G160" s="138"/>
      <c r="H160" s="138"/>
      <c r="I160" s="138"/>
      <c r="J160" s="156"/>
    </row>
    <row r="161" spans="1:13" s="84" customFormat="1" ht="15">
      <c r="A161" s="161"/>
      <c r="B161" s="52"/>
      <c r="C161" s="87"/>
      <c r="D161" s="14" t="s">
        <v>1398</v>
      </c>
      <c r="E161" s="87"/>
      <c r="F161" s="87"/>
      <c r="G161" s="95"/>
      <c r="H161" s="87"/>
      <c r="I161" s="87"/>
      <c r="J161" s="89"/>
    </row>
    <row r="162" spans="1:13">
      <c r="A162" s="161"/>
      <c r="B162" s="52"/>
      <c r="C162" s="252"/>
      <c r="D162" s="252"/>
      <c r="E162" s="252"/>
      <c r="F162" s="252"/>
      <c r="G162" s="252"/>
      <c r="H162" s="252"/>
      <c r="I162" s="252"/>
      <c r="J162" s="253"/>
    </row>
    <row r="163" spans="1:13" s="84" customFormat="1" ht="15">
      <c r="A163" s="161"/>
      <c r="B163" s="52"/>
      <c r="C163" s="1269"/>
      <c r="D163" s="1270"/>
      <c r="E163" s="1270"/>
      <c r="F163" s="1270"/>
      <c r="G163" s="1270"/>
      <c r="H163" s="1270"/>
      <c r="I163" s="1270"/>
      <c r="J163" s="89"/>
    </row>
    <row r="164" spans="1:13" s="84" customFormat="1" ht="15">
      <c r="A164" s="161"/>
      <c r="B164" s="52"/>
      <c r="C164" s="1270"/>
      <c r="D164" s="1270"/>
      <c r="E164" s="1270"/>
      <c r="F164" s="1270"/>
      <c r="G164" s="1270"/>
      <c r="H164" s="1270"/>
      <c r="I164" s="1270"/>
      <c r="J164" s="89"/>
    </row>
    <row r="165" spans="1:13" s="84" customFormat="1" ht="15">
      <c r="A165" s="161"/>
      <c r="B165" s="52"/>
      <c r="C165" s="1270"/>
      <c r="D165" s="1270"/>
      <c r="E165" s="1270"/>
      <c r="F165" s="1270"/>
      <c r="G165" s="1270"/>
      <c r="H165" s="1270"/>
      <c r="I165" s="1270"/>
      <c r="J165" s="89"/>
    </row>
    <row r="166" spans="1:13" s="78" customFormat="1" ht="15.75">
      <c r="A166" s="161">
        <f>A160+1</f>
        <v>80</v>
      </c>
      <c r="B166" s="52" t="s">
        <v>636</v>
      </c>
      <c r="C166" s="167" t="s">
        <v>1145</v>
      </c>
      <c r="D166" s="167"/>
      <c r="E166" s="211"/>
      <c r="F166" s="211"/>
      <c r="G166" s="211"/>
      <c r="H166" s="211"/>
      <c r="I166" s="211"/>
      <c r="J166" s="261"/>
    </row>
    <row r="167" spans="1:13" s="84" customFormat="1" ht="15">
      <c r="A167" s="161"/>
      <c r="B167" s="52"/>
      <c r="C167" s="211" t="s">
        <v>1146</v>
      </c>
      <c r="D167" s="211"/>
      <c r="E167" s="211"/>
      <c r="F167" s="211"/>
      <c r="G167" s="211"/>
      <c r="H167" s="211"/>
      <c r="I167" s="211"/>
      <c r="J167" s="261"/>
    </row>
    <row r="168" spans="1:13" s="84" customFormat="1" ht="15">
      <c r="A168" s="161"/>
      <c r="B168" s="52"/>
      <c r="C168" s="211" t="s">
        <v>1147</v>
      </c>
      <c r="D168" s="211"/>
      <c r="E168" s="211"/>
      <c r="F168" s="211"/>
      <c r="G168" s="211"/>
      <c r="H168" s="211"/>
      <c r="I168" s="211"/>
      <c r="J168" s="261"/>
    </row>
    <row r="169" spans="1:13" s="84" customFormat="1" ht="15">
      <c r="A169" s="161"/>
      <c r="B169" s="52"/>
      <c r="C169" s="211" t="s">
        <v>1148</v>
      </c>
      <c r="D169" s="211"/>
      <c r="E169" s="211"/>
      <c r="F169" s="211"/>
      <c r="G169" s="211"/>
      <c r="H169" s="211"/>
      <c r="I169" s="211"/>
      <c r="J169" s="261"/>
    </row>
    <row r="170" spans="1:13" s="84" customFormat="1" ht="15">
      <c r="A170" s="161"/>
      <c r="B170" s="52"/>
      <c r="C170" s="1271"/>
      <c r="D170" s="1272"/>
      <c r="E170" s="1272"/>
      <c r="F170" s="1272"/>
      <c r="G170" s="1272"/>
      <c r="H170" s="1272"/>
      <c r="I170" s="1273"/>
      <c r="J170" s="89"/>
      <c r="K170" s="103"/>
      <c r="L170" s="103"/>
      <c r="M170" s="103"/>
    </row>
    <row r="171" spans="1:13" s="84" customFormat="1" ht="15">
      <c r="A171" s="161"/>
      <c r="B171" s="52"/>
      <c r="C171" s="1274"/>
      <c r="D171" s="1275"/>
      <c r="E171" s="1275"/>
      <c r="F171" s="1275"/>
      <c r="G171" s="1275"/>
      <c r="H171" s="1275"/>
      <c r="I171" s="1276"/>
      <c r="J171" s="89"/>
    </row>
    <row r="172" spans="1:13" s="84" customFormat="1" ht="15">
      <c r="A172" s="161"/>
      <c r="B172" s="52"/>
      <c r="C172" s="1274"/>
      <c r="D172" s="1275"/>
      <c r="E172" s="1275"/>
      <c r="F172" s="1275"/>
      <c r="G172" s="1275"/>
      <c r="H172" s="1275"/>
      <c r="I172" s="1276"/>
      <c r="J172" s="89"/>
    </row>
    <row r="173" spans="1:13" s="84" customFormat="1" ht="15">
      <c r="A173" s="161"/>
      <c r="B173" s="52"/>
      <c r="C173" s="1274"/>
      <c r="D173" s="1275"/>
      <c r="E173" s="1275"/>
      <c r="F173" s="1275"/>
      <c r="G173" s="1275"/>
      <c r="H173" s="1275"/>
      <c r="I173" s="1276"/>
      <c r="J173" s="89"/>
    </row>
    <row r="174" spans="1:13" s="84" customFormat="1" ht="15">
      <c r="A174" s="161"/>
      <c r="B174" s="52"/>
      <c r="C174" s="1277"/>
      <c r="D174" s="1278"/>
      <c r="E174" s="1278"/>
      <c r="F174" s="1278"/>
      <c r="G174" s="1278"/>
      <c r="H174" s="1278"/>
      <c r="I174" s="1279"/>
      <c r="J174" s="89"/>
    </row>
    <row r="175" spans="1:13" ht="13.5" thickBot="1">
      <c r="A175" s="168"/>
      <c r="B175" s="132"/>
      <c r="C175" s="258"/>
      <c r="D175" s="258"/>
      <c r="E175" s="258"/>
      <c r="F175" s="258"/>
      <c r="G175" s="258"/>
      <c r="H175" s="258"/>
      <c r="I175" s="258"/>
      <c r="J175" s="259"/>
    </row>
    <row r="176" spans="1:13">
      <c r="A176" s="222"/>
      <c r="B176" s="136">
        <f>PROJNAME</f>
        <v>0</v>
      </c>
      <c r="C176" s="136"/>
      <c r="D176" s="136"/>
      <c r="E176" s="136"/>
      <c r="F176" s="136"/>
      <c r="G176" s="260" t="e">
        <f>$G$55</f>
        <v>#VALUE!</v>
      </c>
      <c r="H176" s="1189" t="e">
        <f>$H$55</f>
        <v>#VALUE!</v>
      </c>
      <c r="I176" s="1189"/>
      <c r="J176" s="1189"/>
    </row>
  </sheetData>
  <mergeCells count="130">
    <mergeCell ref="F157:I157"/>
    <mergeCell ref="F156:G156"/>
    <mergeCell ref="H156:I156"/>
    <mergeCell ref="C151:D151"/>
    <mergeCell ref="F148:G148"/>
    <mergeCell ref="H148:I148"/>
    <mergeCell ref="F153:I153"/>
    <mergeCell ref="F145:I145"/>
    <mergeCell ref="F147:I147"/>
    <mergeCell ref="F149:I149"/>
    <mergeCell ref="F152:I152"/>
    <mergeCell ref="F154:I154"/>
    <mergeCell ref="F155:I155"/>
    <mergeCell ref="C143:D143"/>
    <mergeCell ref="F141:I141"/>
    <mergeCell ref="F139:I139"/>
    <mergeCell ref="F136:I136"/>
    <mergeCell ref="F132:G132"/>
    <mergeCell ref="H132:I132"/>
    <mergeCell ref="F144:I144"/>
    <mergeCell ref="F140:G140"/>
    <mergeCell ref="H140:I140"/>
    <mergeCell ref="F137:I137"/>
    <mergeCell ref="F138:I138"/>
    <mergeCell ref="F133:I133"/>
    <mergeCell ref="F120:I120"/>
    <mergeCell ref="F121:I121"/>
    <mergeCell ref="F122:I122"/>
    <mergeCell ref="F146:I146"/>
    <mergeCell ref="F123:I123"/>
    <mergeCell ref="F125:I125"/>
    <mergeCell ref="F128:I128"/>
    <mergeCell ref="F129:I129"/>
    <mergeCell ref="F124:G124"/>
    <mergeCell ref="H124:I124"/>
    <mergeCell ref="F130:I130"/>
    <mergeCell ref="F131:I131"/>
    <mergeCell ref="F85:I85"/>
    <mergeCell ref="F86:I86"/>
    <mergeCell ref="F102:I102"/>
    <mergeCell ref="F97:I97"/>
    <mergeCell ref="F93:I93"/>
    <mergeCell ref="F94:I94"/>
    <mergeCell ref="F95:I95"/>
    <mergeCell ref="F87:I87"/>
    <mergeCell ref="F89:I89"/>
    <mergeCell ref="F88:G88"/>
    <mergeCell ref="F92:I92"/>
    <mergeCell ref="F109:I109"/>
    <mergeCell ref="F113:I113"/>
    <mergeCell ref="F96:G96"/>
    <mergeCell ref="H96:I96"/>
    <mergeCell ref="F112:G112"/>
    <mergeCell ref="H112:I112"/>
    <mergeCell ref="F110:I110"/>
    <mergeCell ref="F111:I111"/>
    <mergeCell ref="F100:I100"/>
    <mergeCell ref="F101:I101"/>
    <mergeCell ref="F103:I103"/>
    <mergeCell ref="F105:I105"/>
    <mergeCell ref="F108:I108"/>
    <mergeCell ref="F104:G104"/>
    <mergeCell ref="H104:I104"/>
    <mergeCell ref="H88:I88"/>
    <mergeCell ref="F31:I31"/>
    <mergeCell ref="F33:I33"/>
    <mergeCell ref="F34:I34"/>
    <mergeCell ref="F35:I35"/>
    <mergeCell ref="F48:I48"/>
    <mergeCell ref="F37:I37"/>
    <mergeCell ref="F38:I38"/>
    <mergeCell ref="F49:I49"/>
    <mergeCell ref="F50:I50"/>
    <mergeCell ref="F52:I52"/>
    <mergeCell ref="F51:G51"/>
    <mergeCell ref="H51:I51"/>
    <mergeCell ref="F39:I39"/>
    <mergeCell ref="F41:I41"/>
    <mergeCell ref="F62:I62"/>
    <mergeCell ref="F84:I84"/>
    <mergeCell ref="H80:I80"/>
    <mergeCell ref="F78:I78"/>
    <mergeCell ref="F79:I79"/>
    <mergeCell ref="F76:I76"/>
    <mergeCell ref="F64:I64"/>
    <mergeCell ref="F67:I67"/>
    <mergeCell ref="H72:I72"/>
    <mergeCell ref="F6:I6"/>
    <mergeCell ref="H176:J176"/>
    <mergeCell ref="C163:I165"/>
    <mergeCell ref="C170:I174"/>
    <mergeCell ref="H55:J55"/>
    <mergeCell ref="H116:J116"/>
    <mergeCell ref="F21:I21"/>
    <mergeCell ref="F20:G20"/>
    <mergeCell ref="H36:I36"/>
    <mergeCell ref="H47:I47"/>
    <mergeCell ref="F27:I27"/>
    <mergeCell ref="H26:I26"/>
    <mergeCell ref="F77:I77"/>
    <mergeCell ref="F44:I44"/>
    <mergeCell ref="F45:I45"/>
    <mergeCell ref="F46:I46"/>
    <mergeCell ref="F70:I70"/>
    <mergeCell ref="F71:I71"/>
    <mergeCell ref="F73:I73"/>
    <mergeCell ref="F63:G63"/>
    <mergeCell ref="H63:I63"/>
    <mergeCell ref="F59:I59"/>
    <mergeCell ref="F40:G40"/>
    <mergeCell ref="H40:I40"/>
    <mergeCell ref="F80:G80"/>
    <mergeCell ref="F15:I15"/>
    <mergeCell ref="F16:I16"/>
    <mergeCell ref="F17:I17"/>
    <mergeCell ref="F18:I18"/>
    <mergeCell ref="F19:I19"/>
    <mergeCell ref="H20:I20"/>
    <mergeCell ref="F23:I23"/>
    <mergeCell ref="F24:I24"/>
    <mergeCell ref="F25:I25"/>
    <mergeCell ref="F60:I60"/>
    <mergeCell ref="F28:I28"/>
    <mergeCell ref="F29:I29"/>
    <mergeCell ref="F61:I61"/>
    <mergeCell ref="F30:G30"/>
    <mergeCell ref="H30:I30"/>
    <mergeCell ref="F69:I69"/>
    <mergeCell ref="F72:G72"/>
    <mergeCell ref="F68:I68"/>
  </mergeCells>
  <phoneticPr fontId="140" type="noConversion"/>
  <conditionalFormatting sqref="C163:I165">
    <cfRule type="expression" dxfId="48" priority="1" stopIfTrue="1">
      <formula>$D$161="Yes"</formula>
    </cfRule>
  </conditionalFormatting>
  <conditionalFormatting sqref="H26:I26">
    <cfRule type="expression" dxfId="47" priority="2" stopIfTrue="1">
      <formula>$F$26="Yes"</formula>
    </cfRule>
  </conditionalFormatting>
  <conditionalFormatting sqref="H36:I36">
    <cfRule type="expression" dxfId="46" priority="3" stopIfTrue="1">
      <formula>$F$36="Yes"</formula>
    </cfRule>
  </conditionalFormatting>
  <conditionalFormatting sqref="H47:I47">
    <cfRule type="expression" dxfId="45" priority="4" stopIfTrue="1">
      <formula>$F$47="Yes"</formula>
    </cfRule>
  </conditionalFormatting>
  <printOptions horizontalCentered="1" gridLinesSet="0"/>
  <pageMargins left="7.0000000000000007E-2" right="7.0000000000000007E-2" top="7.0000000000000007E-2" bottom="7.0000000000000007E-2" header="7.0000000000000007E-2" footer="7.0000000000000007E-2"/>
  <pageSetup scale="90" orientation="portrait" blackAndWhite="1" horizontalDpi="300" verticalDpi="300" r:id="rId1"/>
  <headerFooter alignWithMargins="0"/>
  <rowBreaks count="2" manualBreakCount="2">
    <brk id="55" max="9" man="1"/>
    <brk id="116"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eet4">
    <pageSetUpPr autoPageBreaks="0"/>
  </sheetPr>
  <dimension ref="A1:FH1697"/>
  <sheetViews>
    <sheetView showGridLines="0" topLeftCell="A217" zoomScaleNormal="100" workbookViewId="0">
      <selection activeCell="C10" sqref="C10"/>
    </sheetView>
  </sheetViews>
  <sheetFormatPr defaultColWidth="9.6640625" defaultRowHeight="12.75"/>
  <cols>
    <col min="1" max="1" width="4.83203125" style="101" customWidth="1"/>
    <col min="2" max="2" width="1.6640625" style="101" customWidth="1"/>
    <col min="3" max="3" width="14.83203125" style="103" customWidth="1"/>
    <col min="4" max="4" width="13.83203125" style="103" customWidth="1"/>
    <col min="5" max="10" width="17.83203125" style="103" customWidth="1"/>
    <col min="11" max="11" width="14.6640625" style="103" customWidth="1"/>
    <col min="12" max="12" width="4.83203125" style="103" customWidth="1"/>
    <col min="13" max="13" width="30.1640625" style="103" customWidth="1"/>
    <col min="14" max="14" width="3.83203125" style="103" customWidth="1"/>
    <col min="15" max="15" width="8.33203125" style="103" customWidth="1"/>
    <col min="16" max="16" width="19.1640625" style="103" customWidth="1"/>
    <col min="17" max="18" width="15.1640625" style="103" customWidth="1"/>
    <col min="19" max="19" width="19.83203125" style="103" customWidth="1"/>
    <col min="20" max="20" width="18" style="103" customWidth="1"/>
    <col min="21" max="23" width="17.6640625" style="103" customWidth="1"/>
    <col min="24" max="24" width="4.1640625" style="103" customWidth="1"/>
    <col min="25" max="25" width="13.5" style="103" bestFit="1" customWidth="1"/>
    <col min="26" max="26" width="3.83203125" style="103" customWidth="1"/>
    <col min="27" max="27" width="8.33203125" style="103" customWidth="1"/>
    <col min="28" max="28" width="19.1640625" style="103" customWidth="1"/>
    <col min="29" max="30" width="15.1640625" style="103" customWidth="1"/>
    <col min="31" max="31" width="19.83203125" style="103" customWidth="1"/>
    <col min="32" max="32" width="18" style="103" customWidth="1"/>
    <col min="33" max="35" width="17.6640625" style="103" customWidth="1"/>
    <col min="36" max="36" width="4.1640625" style="103" customWidth="1"/>
    <col min="37" max="37" width="9.6640625" style="103"/>
    <col min="38" max="38" width="3.83203125" style="103" customWidth="1"/>
    <col min="39" max="39" width="8.33203125" style="103" customWidth="1"/>
    <col min="40" max="40" width="19.1640625" style="103" customWidth="1"/>
    <col min="41" max="42" width="15.1640625" style="103" customWidth="1"/>
    <col min="43" max="43" width="19.83203125" style="103" customWidth="1"/>
    <col min="44" max="44" width="18" style="103" customWidth="1"/>
    <col min="45" max="47" width="17.6640625" style="103" customWidth="1"/>
    <col min="48" max="48" width="4.1640625" style="103" customWidth="1"/>
    <col min="49" max="50" width="9.6640625" style="103"/>
    <col min="51" max="51" width="3.83203125" style="103" customWidth="1"/>
    <col min="52" max="52" width="8.33203125" style="103" customWidth="1"/>
    <col min="53" max="53" width="19.1640625" style="103" customWidth="1"/>
    <col min="54" max="55" width="15.1640625" style="103" customWidth="1"/>
    <col min="56" max="56" width="19.83203125" style="103" customWidth="1"/>
    <col min="57" max="57" width="18" style="103" customWidth="1"/>
    <col min="58" max="60" width="17.6640625" style="455" customWidth="1"/>
    <col min="61" max="61" width="4.1640625" style="103" customWidth="1"/>
    <col min="62" max="63" width="9.6640625" style="103"/>
    <col min="64" max="64" width="3.83203125" style="103" customWidth="1"/>
    <col min="65" max="65" width="8.33203125" style="103" customWidth="1"/>
    <col min="66" max="66" width="19.1640625" style="103" customWidth="1"/>
    <col min="67" max="68" width="15.1640625" style="103" customWidth="1"/>
    <col min="69" max="69" width="19.83203125" style="103" customWidth="1"/>
    <col min="70" max="70" width="18" style="103" customWidth="1"/>
    <col min="71" max="73" width="17.6640625" style="455" customWidth="1"/>
    <col min="74" max="74" width="4.1640625" style="103" customWidth="1"/>
    <col min="75" max="16384" width="9.6640625" style="103"/>
  </cols>
  <sheetData>
    <row r="1" spans="1:74" s="275" customFormat="1">
      <c r="A1" s="63" t="str">
        <f>'2. Dev. Team'!A1</f>
        <v>One Stop2000 Affordable Housing Finance Application [Version 1.21] ©</v>
      </c>
      <c r="B1" s="222"/>
      <c r="C1" s="273"/>
      <c r="D1" s="273"/>
      <c r="E1" s="273"/>
      <c r="F1" s="273"/>
      <c r="G1" s="273"/>
      <c r="H1" s="273"/>
      <c r="I1" s="273"/>
      <c r="J1" s="274" t="s">
        <v>1149</v>
      </c>
      <c r="K1" s="274"/>
      <c r="L1" s="273"/>
      <c r="M1" s="85"/>
      <c r="N1" s="85"/>
      <c r="O1" s="85"/>
      <c r="P1" s="85"/>
      <c r="Q1" s="85"/>
      <c r="R1" s="85"/>
      <c r="S1" s="85"/>
      <c r="T1" s="85"/>
      <c r="U1" s="85"/>
      <c r="V1" s="85"/>
      <c r="W1" s="85"/>
      <c r="Y1" s="85"/>
      <c r="Z1" s="85"/>
      <c r="AA1" s="85"/>
      <c r="AB1" s="85"/>
      <c r="AC1" s="85"/>
      <c r="AD1" s="85"/>
      <c r="AE1" s="85"/>
      <c r="AF1" s="85"/>
      <c r="AG1" s="85"/>
      <c r="AH1" s="85"/>
      <c r="AI1" s="85"/>
      <c r="AK1" s="85"/>
      <c r="AL1" s="85"/>
      <c r="AM1" s="85"/>
      <c r="AN1" s="85"/>
      <c r="AO1" s="85"/>
      <c r="AP1" s="85"/>
      <c r="AQ1" s="85"/>
      <c r="AR1" s="85"/>
      <c r="AS1" s="85"/>
      <c r="AT1" s="85"/>
      <c r="AU1" s="85"/>
      <c r="AV1" s="85"/>
      <c r="AX1" s="85"/>
      <c r="AY1" s="85"/>
      <c r="AZ1" s="85"/>
      <c r="BA1" s="85"/>
      <c r="BB1" s="85"/>
      <c r="BC1" s="85"/>
      <c r="BD1" s="85"/>
      <c r="BE1" s="85"/>
      <c r="BF1" s="504"/>
      <c r="BG1" s="504"/>
      <c r="BH1" s="504"/>
      <c r="BI1" s="85"/>
      <c r="BK1" s="85"/>
      <c r="BL1" s="85"/>
      <c r="BM1" s="85"/>
      <c r="BN1" s="85"/>
      <c r="BO1" s="85"/>
      <c r="BP1" s="85"/>
      <c r="BQ1" s="85"/>
      <c r="BR1" s="85"/>
      <c r="BS1" s="504"/>
      <c r="BT1" s="504"/>
      <c r="BU1" s="504"/>
      <c r="BV1" s="85"/>
    </row>
    <row r="2" spans="1:74" s="70" customFormat="1" ht="26.25">
      <c r="A2" s="276" t="s">
        <v>1150</v>
      </c>
      <c r="B2" s="277"/>
      <c r="C2" s="278"/>
      <c r="D2" s="278"/>
      <c r="E2" s="278"/>
      <c r="F2" s="279"/>
      <c r="G2" s="279"/>
      <c r="H2" s="279"/>
      <c r="I2" s="278"/>
      <c r="J2" s="278"/>
      <c r="K2" s="278"/>
      <c r="L2" s="278"/>
      <c r="N2" s="280"/>
      <c r="O2" s="280"/>
      <c r="P2" s="281"/>
      <c r="Q2" s="281"/>
      <c r="R2" s="281"/>
      <c r="S2" s="282"/>
      <c r="T2" s="282"/>
      <c r="U2" s="282"/>
      <c r="V2" s="281"/>
      <c r="W2" s="281"/>
      <c r="Z2" s="280"/>
      <c r="AA2" s="281"/>
      <c r="AB2" s="281"/>
      <c r="AC2" s="281"/>
      <c r="AD2" s="282"/>
      <c r="AE2" s="282"/>
      <c r="AF2" s="282"/>
      <c r="AG2" s="281"/>
      <c r="AH2" s="281"/>
      <c r="AI2" s="281"/>
      <c r="AL2" s="280"/>
      <c r="AM2" s="281"/>
      <c r="AN2" s="281"/>
      <c r="AO2" s="281"/>
      <c r="AP2" s="282"/>
      <c r="AQ2" s="282"/>
      <c r="AR2" s="282"/>
      <c r="AS2" s="281"/>
      <c r="AT2" s="281"/>
      <c r="AU2" s="281"/>
      <c r="AV2" s="281"/>
      <c r="AY2" s="280"/>
      <c r="AZ2" s="281"/>
      <c r="BA2" s="281"/>
      <c r="BB2" s="281"/>
      <c r="BC2" s="282"/>
      <c r="BD2" s="282"/>
      <c r="BE2" s="282"/>
      <c r="BF2" s="937"/>
      <c r="BG2" s="937"/>
      <c r="BH2" s="937"/>
      <c r="BI2" s="281"/>
      <c r="BL2" s="280"/>
      <c r="BM2" s="281"/>
      <c r="BN2" s="281"/>
      <c r="BO2" s="281"/>
      <c r="BP2" s="282"/>
      <c r="BQ2" s="282"/>
      <c r="BR2" s="282"/>
      <c r="BS2" s="937"/>
      <c r="BT2" s="937"/>
      <c r="BU2" s="937"/>
      <c r="BV2" s="281"/>
    </row>
    <row r="3" spans="1:74" s="70" customFormat="1" ht="26.25">
      <c r="A3" s="245" t="s">
        <v>1151</v>
      </c>
      <c r="B3" s="277"/>
      <c r="C3" s="279"/>
      <c r="D3" s="278"/>
      <c r="E3" s="278"/>
      <c r="F3" s="278"/>
      <c r="G3" s="283"/>
      <c r="H3" s="283"/>
      <c r="I3" s="278"/>
      <c r="J3" s="278"/>
      <c r="K3" s="278"/>
      <c r="L3" s="278"/>
      <c r="N3" s="284"/>
      <c r="O3" s="284"/>
      <c r="P3" s="282"/>
      <c r="Q3" s="281"/>
      <c r="R3" s="281"/>
      <c r="S3" s="281"/>
      <c r="T3" s="285"/>
      <c r="U3" s="285"/>
      <c r="V3" s="281"/>
      <c r="W3" s="281"/>
      <c r="Z3" s="284"/>
      <c r="AA3" s="282"/>
      <c r="AB3" s="281"/>
      <c r="AC3" s="281"/>
      <c r="AD3" s="281"/>
      <c r="AE3" s="285"/>
      <c r="AF3" s="285"/>
      <c r="AG3" s="281"/>
      <c r="AH3" s="281"/>
      <c r="AI3" s="281"/>
      <c r="AL3" s="284"/>
      <c r="AM3" s="282"/>
      <c r="AN3" s="281"/>
      <c r="AO3" s="281"/>
      <c r="AP3" s="281"/>
      <c r="AQ3" s="285"/>
      <c r="AR3" s="285"/>
      <c r="AS3" s="281"/>
      <c r="AT3" s="281"/>
      <c r="AU3" s="281"/>
      <c r="AV3" s="281"/>
      <c r="AY3" s="284"/>
      <c r="AZ3" s="282"/>
      <c r="BA3" s="281"/>
      <c r="BB3" s="281"/>
      <c r="BC3" s="281"/>
      <c r="BD3" s="285"/>
      <c r="BE3" s="285"/>
      <c r="BF3" s="937"/>
      <c r="BG3" s="937"/>
      <c r="BH3" s="937"/>
      <c r="BI3" s="281"/>
      <c r="BL3" s="284"/>
      <c r="BM3" s="282"/>
      <c r="BN3" s="281"/>
      <c r="BO3" s="281"/>
      <c r="BP3" s="281"/>
      <c r="BQ3" s="285"/>
      <c r="BR3" s="285"/>
      <c r="BS3" s="937"/>
      <c r="BT3" s="937"/>
      <c r="BU3" s="937"/>
      <c r="BV3" s="281"/>
    </row>
    <row r="4" spans="1:74" s="288" customFormat="1" ht="13.5" thickBot="1">
      <c r="A4" s="286"/>
      <c r="B4" s="286"/>
      <c r="C4" s="287"/>
      <c r="D4" s="287"/>
      <c r="E4" s="287"/>
      <c r="F4" s="287"/>
      <c r="G4" s="287"/>
      <c r="H4" s="287"/>
      <c r="I4" s="287"/>
      <c r="J4" s="287"/>
      <c r="K4" s="287"/>
      <c r="L4" s="287"/>
      <c r="N4" s="289" t="s">
        <v>1205</v>
      </c>
      <c r="U4" s="938"/>
      <c r="V4" s="938"/>
      <c r="W4" s="938" t="s">
        <v>1125</v>
      </c>
      <c r="X4" s="290"/>
      <c r="Z4" s="289" t="s">
        <v>1205</v>
      </c>
      <c r="AG4" s="938"/>
      <c r="AH4" s="938"/>
      <c r="AI4" s="938" t="s">
        <v>639</v>
      </c>
      <c r="AJ4" s="290"/>
      <c r="AL4" s="289" t="s">
        <v>1205</v>
      </c>
      <c r="AS4" s="938"/>
      <c r="AT4" s="938"/>
      <c r="AU4" s="938"/>
      <c r="AV4" s="290" t="s">
        <v>640</v>
      </c>
      <c r="AY4" s="289" t="s">
        <v>1205</v>
      </c>
      <c r="BF4" s="938"/>
      <c r="BG4" s="938"/>
      <c r="BH4" s="938"/>
      <c r="BI4" s="290" t="s">
        <v>643</v>
      </c>
      <c r="BL4" s="289" t="s">
        <v>1205</v>
      </c>
      <c r="BS4" s="938"/>
      <c r="BT4" s="938"/>
      <c r="BU4" s="938"/>
      <c r="BV4" s="290" t="s">
        <v>133</v>
      </c>
    </row>
    <row r="5" spans="1:74" s="78" customFormat="1" ht="16.5" thickBot="1">
      <c r="A5" s="73" t="s">
        <v>1152</v>
      </c>
      <c r="B5" s="74"/>
      <c r="C5" s="75"/>
      <c r="D5" s="76"/>
      <c r="E5" s="74"/>
      <c r="F5" s="74"/>
      <c r="G5" s="74"/>
      <c r="H5" s="74"/>
      <c r="I5" s="74"/>
      <c r="J5" s="77"/>
      <c r="K5" s="77"/>
      <c r="L5" s="219"/>
      <c r="N5" s="295" t="s">
        <v>357</v>
      </c>
      <c r="O5" s="291"/>
      <c r="P5" s="292"/>
      <c r="Q5" s="292"/>
      <c r="R5" s="292"/>
      <c r="S5" s="292"/>
      <c r="T5" s="292"/>
      <c r="U5" s="939"/>
      <c r="V5" s="939"/>
      <c r="W5" s="939"/>
      <c r="X5" s="293"/>
      <c r="Y5" s="294"/>
      <c r="Z5" s="295" t="s">
        <v>358</v>
      </c>
      <c r="AA5" s="291"/>
      <c r="AB5" s="292"/>
      <c r="AC5" s="292"/>
      <c r="AD5" s="292"/>
      <c r="AE5" s="292"/>
      <c r="AF5" s="292"/>
      <c r="AG5" s="939"/>
      <c r="AH5" s="939"/>
      <c r="AI5" s="939"/>
      <c r="AJ5" s="293"/>
      <c r="AK5" s="294"/>
      <c r="AL5" s="295" t="s">
        <v>359</v>
      </c>
      <c r="AM5" s="291"/>
      <c r="AN5" s="292"/>
      <c r="AO5" s="292"/>
      <c r="AP5" s="292"/>
      <c r="AQ5" s="292"/>
      <c r="AR5" s="292"/>
      <c r="AS5" s="939"/>
      <c r="AT5" s="939"/>
      <c r="AU5" s="939"/>
      <c r="AV5" s="293"/>
      <c r="AW5" s="294"/>
      <c r="AX5" s="294"/>
      <c r="AY5" s="295" t="s">
        <v>360</v>
      </c>
      <c r="AZ5" s="291"/>
      <c r="BA5" s="292"/>
      <c r="BB5" s="292"/>
      <c r="BC5" s="292"/>
      <c r="BD5" s="292"/>
      <c r="BE5" s="292"/>
      <c r="BF5" s="939"/>
      <c r="BG5" s="939"/>
      <c r="BH5" s="939"/>
      <c r="BI5" s="293"/>
      <c r="BJ5" s="294"/>
      <c r="BK5" s="294"/>
      <c r="BL5" s="295" t="s">
        <v>361</v>
      </c>
      <c r="BM5" s="291"/>
      <c r="BN5" s="292"/>
      <c r="BO5" s="292"/>
      <c r="BP5" s="292"/>
      <c r="BQ5" s="292"/>
      <c r="BR5" s="292"/>
      <c r="BS5" s="939"/>
      <c r="BT5" s="939"/>
      <c r="BU5" s="939"/>
      <c r="BV5" s="293"/>
    </row>
    <row r="6" spans="1:74" s="288" customFormat="1" ht="13.5" thickTop="1">
      <c r="A6" s="407"/>
      <c r="B6" s="404"/>
      <c r="C6" s="775"/>
      <c r="D6" s="775"/>
      <c r="E6" s="775"/>
      <c r="F6" s="775"/>
      <c r="G6" s="775"/>
      <c r="H6" s="775"/>
      <c r="I6" s="775"/>
      <c r="J6" s="775"/>
      <c r="K6" s="775"/>
      <c r="L6" s="296"/>
      <c r="N6" s="301"/>
      <c r="O6" s="298"/>
      <c r="P6" s="298"/>
      <c r="Q6" s="298"/>
      <c r="R6" s="298"/>
      <c r="S6" s="298"/>
      <c r="T6" s="298"/>
      <c r="U6" s="308"/>
      <c r="V6" s="308"/>
      <c r="W6" s="308"/>
      <c r="X6" s="299"/>
      <c r="Y6" s="300"/>
      <c r="Z6" s="301"/>
      <c r="AA6" s="298"/>
      <c r="AB6" s="298"/>
      <c r="AC6" s="298"/>
      <c r="AD6" s="298"/>
      <c r="AE6" s="298"/>
      <c r="AF6" s="298"/>
      <c r="AG6" s="308"/>
      <c r="AH6" s="308"/>
      <c r="AI6" s="308"/>
      <c r="AJ6" s="299"/>
      <c r="AK6" s="300"/>
      <c r="AL6" s="301"/>
      <c r="AM6" s="298"/>
      <c r="AN6" s="298"/>
      <c r="AO6" s="298"/>
      <c r="AP6" s="298"/>
      <c r="AQ6" s="298"/>
      <c r="AR6" s="298"/>
      <c r="AS6" s="308"/>
      <c r="AT6" s="308"/>
      <c r="AU6" s="308"/>
      <c r="AV6" s="299"/>
      <c r="AW6" s="300"/>
      <c r="AX6" s="300"/>
      <c r="AY6" s="301"/>
      <c r="AZ6" s="298"/>
      <c r="BA6" s="298"/>
      <c r="BB6" s="298"/>
      <c r="BC6" s="298"/>
      <c r="BD6" s="298"/>
      <c r="BE6" s="298"/>
      <c r="BF6" s="308"/>
      <c r="BG6" s="308"/>
      <c r="BH6" s="308"/>
      <c r="BI6" s="299"/>
      <c r="BJ6" s="300"/>
      <c r="BK6" s="300"/>
      <c r="BL6" s="301"/>
      <c r="BM6" s="298"/>
      <c r="BN6" s="298"/>
      <c r="BO6" s="298"/>
      <c r="BP6" s="298"/>
      <c r="BQ6" s="298"/>
      <c r="BR6" s="298"/>
      <c r="BS6" s="308"/>
      <c r="BT6" s="308"/>
      <c r="BU6" s="308"/>
      <c r="BV6" s="299"/>
    </row>
    <row r="7" spans="1:74" s="78" customFormat="1" ht="16.5" thickBot="1">
      <c r="A7" s="407"/>
      <c r="B7" s="404"/>
      <c r="C7" s="214" t="s">
        <v>1153</v>
      </c>
      <c r="D7" s="214"/>
      <c r="E7" s="405"/>
      <c r="F7" s="405"/>
      <c r="G7" s="534"/>
      <c r="H7" s="1101"/>
      <c r="I7" s="294"/>
      <c r="J7" s="864" t="s">
        <v>224</v>
      </c>
      <c r="K7" s="405"/>
      <c r="L7" s="306"/>
      <c r="N7" s="301"/>
      <c r="O7" s="405"/>
      <c r="P7" s="307"/>
      <c r="Q7" s="307" t="str">
        <f>C33</f>
        <v>MHFA</v>
      </c>
      <c r="R7" s="307" t="str">
        <f>D33</f>
        <v>MHFA Program 1</v>
      </c>
      <c r="S7" s="308"/>
      <c r="T7" s="308"/>
      <c r="U7" s="308"/>
      <c r="V7" s="308"/>
      <c r="W7" s="308"/>
      <c r="X7" s="299"/>
      <c r="Y7" s="309"/>
      <c r="Z7" s="301"/>
      <c r="AA7" s="405"/>
      <c r="AB7" s="307" t="str">
        <f>C34</f>
        <v>MHFA</v>
      </c>
      <c r="AC7" s="307" t="str">
        <f>D34</f>
        <v>MHFA Program 2</v>
      </c>
      <c r="AD7" s="405"/>
      <c r="AE7" s="308"/>
      <c r="AF7" s="308"/>
      <c r="AG7" s="308"/>
      <c r="AH7" s="308"/>
      <c r="AI7" s="308"/>
      <c r="AJ7" s="299"/>
      <c r="AK7" s="294"/>
      <c r="AL7" s="301"/>
      <c r="AM7" s="405"/>
      <c r="AN7" s="307" t="s">
        <v>641</v>
      </c>
      <c r="AO7" s="297"/>
      <c r="AP7" s="405"/>
      <c r="AQ7" s="308"/>
      <c r="AR7" s="308"/>
      <c r="AS7" s="308"/>
      <c r="AT7" s="308"/>
      <c r="AU7" s="308"/>
      <c r="AV7" s="299"/>
      <c r="AW7" s="294"/>
      <c r="AX7" s="294"/>
      <c r="AY7" s="301"/>
      <c r="AZ7" s="405"/>
      <c r="BA7" s="307" t="s">
        <v>642</v>
      </c>
      <c r="BB7" s="307"/>
      <c r="BC7" s="307"/>
      <c r="BD7" s="307"/>
      <c r="BE7" s="308"/>
      <c r="BF7" s="308"/>
      <c r="BG7" s="308"/>
      <c r="BH7" s="308"/>
      <c r="BI7" s="299"/>
      <c r="BJ7" s="294"/>
      <c r="BK7" s="294"/>
      <c r="BL7" s="301"/>
      <c r="BM7" s="405"/>
      <c r="BN7" s="307" t="s">
        <v>642</v>
      </c>
      <c r="BO7" s="307"/>
      <c r="BP7" s="307"/>
      <c r="BQ7" s="307"/>
      <c r="BR7" s="308"/>
      <c r="BS7" s="308"/>
      <c r="BT7" s="308"/>
      <c r="BU7" s="308"/>
      <c r="BV7" s="299"/>
    </row>
    <row r="8" spans="1:74" s="84" customFormat="1" ht="17.25" thickTop="1" thickBot="1">
      <c r="A8" s="407">
        <f>'2. Dev. Team'!A166+1</f>
        <v>81</v>
      </c>
      <c r="B8" s="404" t="s">
        <v>636</v>
      </c>
      <c r="C8" s="1102" t="s">
        <v>1183</v>
      </c>
      <c r="D8" s="1102"/>
      <c r="E8" s="1102"/>
      <c r="F8" s="1102"/>
      <c r="G8" s="1103" t="s">
        <v>791</v>
      </c>
      <c r="H8" s="1101"/>
      <c r="I8" s="904"/>
      <c r="J8" s="904"/>
      <c r="K8" s="905"/>
      <c r="L8" s="314"/>
      <c r="N8" s="301"/>
      <c r="O8" s="211"/>
      <c r="P8" s="316"/>
      <c r="Q8" s="317"/>
      <c r="R8" s="317" t="s">
        <v>1126</v>
      </c>
      <c r="S8" s="211"/>
      <c r="T8" s="318" t="str">
        <f>F33</f>
        <v>$</v>
      </c>
      <c r="U8" s="940"/>
      <c r="V8" s="940"/>
      <c r="W8" s="940"/>
      <c r="X8" s="299"/>
      <c r="Y8" s="320"/>
      <c r="Z8" s="301"/>
      <c r="AA8" s="211"/>
      <c r="AB8" s="316"/>
      <c r="AC8" s="317" t="s">
        <v>1126</v>
      </c>
      <c r="AD8" s="211"/>
      <c r="AE8" s="318" t="str">
        <f>F34</f>
        <v>$</v>
      </c>
      <c r="AF8" s="319"/>
      <c r="AG8" s="940"/>
      <c r="AH8" s="940"/>
      <c r="AI8" s="940"/>
      <c r="AJ8" s="299"/>
      <c r="AK8" s="315"/>
      <c r="AL8" s="301"/>
      <c r="AM8" s="211"/>
      <c r="AN8" s="316"/>
      <c r="AO8" s="317" t="s">
        <v>1126</v>
      </c>
      <c r="AP8" s="211"/>
      <c r="AQ8" s="318" t="str">
        <f>F35</f>
        <v>$</v>
      </c>
      <c r="AR8" s="319"/>
      <c r="AS8" s="940"/>
      <c r="AT8" s="940"/>
      <c r="AU8" s="940"/>
      <c r="AV8" s="299"/>
      <c r="AW8" s="315"/>
      <c r="AX8" s="315"/>
      <c r="AY8" s="301"/>
      <c r="AZ8" s="211"/>
      <c r="BA8" s="316"/>
      <c r="BB8" s="317" t="s">
        <v>1126</v>
      </c>
      <c r="BC8" s="211"/>
      <c r="BD8" s="318" t="str">
        <f>F36</f>
        <v>$</v>
      </c>
      <c r="BE8" s="319"/>
      <c r="BF8" s="940"/>
      <c r="BG8" s="940"/>
      <c r="BH8" s="940"/>
      <c r="BI8" s="299"/>
      <c r="BJ8" s="315"/>
      <c r="BK8" s="315"/>
      <c r="BL8" s="301"/>
      <c r="BM8" s="211"/>
      <c r="BN8" s="316"/>
      <c r="BO8" s="317" t="s">
        <v>1126</v>
      </c>
      <c r="BP8" s="211"/>
      <c r="BQ8" s="318" t="str">
        <f>F38</f>
        <v>$</v>
      </c>
      <c r="BR8" s="319"/>
      <c r="BS8" s="940"/>
      <c r="BT8" s="940"/>
      <c r="BU8" s="940"/>
      <c r="BV8" s="299"/>
    </row>
    <row r="9" spans="1:74" s="84" customFormat="1" ht="17.25" thickTop="1" thickBot="1">
      <c r="A9" s="407">
        <f>A8+1</f>
        <v>82</v>
      </c>
      <c r="B9" s="404" t="s">
        <v>636</v>
      </c>
      <c r="C9" s="1102" t="s">
        <v>1184</v>
      </c>
      <c r="D9" s="1102"/>
      <c r="E9" s="1102"/>
      <c r="F9" s="1104" t="s">
        <v>315</v>
      </c>
      <c r="G9" s="1103" t="s">
        <v>791</v>
      </c>
      <c r="H9" s="315"/>
      <c r="I9" s="904"/>
      <c r="J9" s="904"/>
      <c r="K9" s="905"/>
      <c r="L9" s="314"/>
      <c r="N9" s="301"/>
      <c r="O9" s="211"/>
      <c r="P9" s="316"/>
      <c r="Q9" s="317"/>
      <c r="R9" s="317" t="s">
        <v>1128</v>
      </c>
      <c r="S9" s="211"/>
      <c r="T9" s="321" t="str">
        <f>G33</f>
        <v>%</v>
      </c>
      <c r="U9" s="322"/>
      <c r="V9" s="322"/>
      <c r="W9" s="322"/>
      <c r="X9" s="299"/>
      <c r="Y9" s="309"/>
      <c r="Z9" s="301"/>
      <c r="AA9" s="211"/>
      <c r="AB9" s="316"/>
      <c r="AC9" s="317" t="s">
        <v>1128</v>
      </c>
      <c r="AD9" s="211"/>
      <c r="AE9" s="321" t="str">
        <f>G34</f>
        <v>%</v>
      </c>
      <c r="AF9" s="319"/>
      <c r="AG9" s="322"/>
      <c r="AH9" s="322"/>
      <c r="AI9" s="322"/>
      <c r="AJ9" s="299"/>
      <c r="AK9" s="315"/>
      <c r="AL9" s="301"/>
      <c r="AM9" s="211"/>
      <c r="AN9" s="316"/>
      <c r="AO9" s="317" t="s">
        <v>1128</v>
      </c>
      <c r="AP9" s="211"/>
      <c r="AQ9" s="321" t="str">
        <f>G35</f>
        <v>%</v>
      </c>
      <c r="AR9" s="319"/>
      <c r="AS9" s="322"/>
      <c r="AT9" s="322"/>
      <c r="AU9" s="322"/>
      <c r="AV9" s="299"/>
      <c r="AW9" s="315"/>
      <c r="AX9" s="315"/>
      <c r="AY9" s="301"/>
      <c r="AZ9" s="211"/>
      <c r="BA9" s="316"/>
      <c r="BB9" s="317" t="s">
        <v>1128</v>
      </c>
      <c r="BC9" s="211"/>
      <c r="BD9" s="321" t="str">
        <f>G36</f>
        <v xml:space="preserve">% </v>
      </c>
      <c r="BE9" s="319"/>
      <c r="BF9" s="322"/>
      <c r="BG9" s="322"/>
      <c r="BH9" s="322"/>
      <c r="BI9" s="299"/>
      <c r="BJ9" s="315"/>
      <c r="BK9" s="315"/>
      <c r="BL9" s="301"/>
      <c r="BM9" s="211"/>
      <c r="BN9" s="316"/>
      <c r="BO9" s="317" t="s">
        <v>1128</v>
      </c>
      <c r="BP9" s="211"/>
      <c r="BQ9" s="321" t="str">
        <f>G38</f>
        <v xml:space="preserve">% </v>
      </c>
      <c r="BR9" s="319"/>
      <c r="BS9" s="322"/>
      <c r="BT9" s="322"/>
      <c r="BU9" s="322"/>
      <c r="BV9" s="299"/>
    </row>
    <row r="10" spans="1:74" s="84" customFormat="1" ht="17.25" thickTop="1" thickBot="1">
      <c r="A10" s="407">
        <f>A9+1</f>
        <v>83</v>
      </c>
      <c r="B10" s="404" t="s">
        <v>636</v>
      </c>
      <c r="C10" s="1102" t="s">
        <v>1185</v>
      </c>
      <c r="D10" s="1102"/>
      <c r="E10" s="1102"/>
      <c r="F10" s="1102"/>
      <c r="G10" s="1103" t="s">
        <v>791</v>
      </c>
      <c r="H10" s="1101"/>
      <c r="I10" s="904"/>
      <c r="J10" s="904"/>
      <c r="K10" s="905"/>
      <c r="L10" s="323"/>
      <c r="N10" s="301"/>
      <c r="O10" s="211"/>
      <c r="P10" s="316"/>
      <c r="Q10" s="317"/>
      <c r="R10" s="317" t="s">
        <v>1129</v>
      </c>
      <c r="S10" s="211"/>
      <c r="T10" s="324" t="str">
        <f>I33</f>
        <v>yrs.</v>
      </c>
      <c r="U10" s="322"/>
      <c r="V10" s="322"/>
      <c r="W10" s="322"/>
      <c r="X10" s="299"/>
      <c r="Y10" s="309"/>
      <c r="Z10" s="301"/>
      <c r="AA10" s="211"/>
      <c r="AB10" s="316"/>
      <c r="AC10" s="317" t="s">
        <v>1129</v>
      </c>
      <c r="AD10" s="211"/>
      <c r="AE10" s="324" t="str">
        <f>I34</f>
        <v>yrs.</v>
      </c>
      <c r="AF10" s="322"/>
      <c r="AG10" s="322"/>
      <c r="AH10" s="322"/>
      <c r="AI10" s="322"/>
      <c r="AJ10" s="299"/>
      <c r="AK10" s="315"/>
      <c r="AL10" s="301"/>
      <c r="AM10" s="211"/>
      <c r="AN10" s="316"/>
      <c r="AO10" s="317" t="s">
        <v>1129</v>
      </c>
      <c r="AP10" s="211"/>
      <c r="AQ10" s="324" t="str">
        <f>I35</f>
        <v>yrs.</v>
      </c>
      <c r="AR10" s="322"/>
      <c r="AS10" s="322"/>
      <c r="AT10" s="322"/>
      <c r="AU10" s="322"/>
      <c r="AV10" s="299"/>
      <c r="AW10" s="315"/>
      <c r="AX10" s="315"/>
      <c r="AY10" s="301"/>
      <c r="AZ10" s="211"/>
      <c r="BA10" s="316"/>
      <c r="BB10" s="317" t="s">
        <v>1129</v>
      </c>
      <c r="BC10" s="211"/>
      <c r="BD10" s="324" t="str">
        <f>I36</f>
        <v>yrs.</v>
      </c>
      <c r="BE10" s="322"/>
      <c r="BF10" s="322"/>
      <c r="BG10" s="322"/>
      <c r="BH10" s="322"/>
      <c r="BI10" s="299"/>
      <c r="BJ10" s="315"/>
      <c r="BK10" s="315"/>
      <c r="BL10" s="301"/>
      <c r="BM10" s="211"/>
      <c r="BN10" s="316"/>
      <c r="BO10" s="317" t="s">
        <v>1129</v>
      </c>
      <c r="BP10" s="211"/>
      <c r="BQ10" s="324" t="str">
        <f>I38</f>
        <v>yrs.</v>
      </c>
      <c r="BR10" s="322"/>
      <c r="BS10" s="322"/>
      <c r="BT10" s="322"/>
      <c r="BU10" s="322"/>
      <c r="BV10" s="299"/>
    </row>
    <row r="11" spans="1:74" s="84" customFormat="1" ht="17.25" thickTop="1" thickBot="1">
      <c r="A11" s="407">
        <f>A10+1</f>
        <v>84</v>
      </c>
      <c r="B11" s="404" t="s">
        <v>636</v>
      </c>
      <c r="C11" s="211" t="s">
        <v>1174</v>
      </c>
      <c r="D11" s="1296"/>
      <c r="E11" s="1297"/>
      <c r="F11" s="1295"/>
      <c r="G11" s="1103" t="s">
        <v>791</v>
      </c>
      <c r="H11" s="1101"/>
      <c r="I11" s="904"/>
      <c r="J11" s="904"/>
      <c r="K11" s="905"/>
      <c r="L11" s="323"/>
      <c r="N11" s="301"/>
      <c r="O11" s="211"/>
      <c r="P11" s="316"/>
      <c r="Q11" s="317"/>
      <c r="R11" s="317" t="s">
        <v>1179</v>
      </c>
      <c r="S11" s="211"/>
      <c r="T11" s="324" t="str">
        <f>J33</f>
        <v>yrs.</v>
      </c>
      <c r="U11" s="326"/>
      <c r="V11" s="941"/>
      <c r="W11" s="942"/>
      <c r="X11" s="299"/>
      <c r="Z11" s="301"/>
      <c r="AA11" s="211"/>
      <c r="AB11" s="316"/>
      <c r="AC11" s="317" t="s">
        <v>1179</v>
      </c>
      <c r="AD11" s="211"/>
      <c r="AE11" s="324" t="str">
        <f>J34</f>
        <v>yrs.</v>
      </c>
      <c r="AF11" s="325"/>
      <c r="AG11" s="326"/>
      <c r="AH11" s="941"/>
      <c r="AI11" s="942"/>
      <c r="AJ11" s="299"/>
      <c r="AL11" s="301"/>
      <c r="AM11" s="211"/>
      <c r="AN11" s="316"/>
      <c r="AO11" s="317" t="s">
        <v>1179</v>
      </c>
      <c r="AP11" s="211"/>
      <c r="AQ11" s="324" t="str">
        <f>J35</f>
        <v>yrs.</v>
      </c>
      <c r="AR11" s="325"/>
      <c r="AS11" s="326"/>
      <c r="AT11" s="941"/>
      <c r="AU11" s="942"/>
      <c r="AV11" s="299"/>
      <c r="AW11" s="315"/>
      <c r="AY11" s="301"/>
      <c r="AZ11" s="211"/>
      <c r="BA11" s="316"/>
      <c r="BB11" s="317" t="s">
        <v>1179</v>
      </c>
      <c r="BC11" s="211"/>
      <c r="BD11" s="324" t="str">
        <f>J36</f>
        <v>yrs.</v>
      </c>
      <c r="BE11" s="325"/>
      <c r="BF11" s="326"/>
      <c r="BG11" s="941"/>
      <c r="BH11" s="942"/>
      <c r="BI11" s="299"/>
      <c r="BL11" s="301"/>
      <c r="BM11" s="211"/>
      <c r="BN11" s="316"/>
      <c r="BO11" s="317" t="s">
        <v>1179</v>
      </c>
      <c r="BP11" s="211"/>
      <c r="BQ11" s="324" t="str">
        <f>J38</f>
        <v>yrs.</v>
      </c>
      <c r="BR11" s="325"/>
      <c r="BS11" s="326"/>
      <c r="BT11" s="941"/>
      <c r="BU11" s="942"/>
      <c r="BV11" s="299"/>
    </row>
    <row r="12" spans="1:74" s="288" customFormat="1" ht="17.25" thickTop="1" thickBot="1">
      <c r="A12" s="407"/>
      <c r="B12" s="404"/>
      <c r="C12" s="775"/>
      <c r="D12" s="775"/>
      <c r="E12" s="775"/>
      <c r="F12" s="775"/>
      <c r="G12" s="1054"/>
      <c r="H12" s="1054"/>
      <c r="I12" s="904"/>
      <c r="J12" s="904"/>
      <c r="K12" s="905"/>
      <c r="L12" s="296"/>
      <c r="N12" s="301"/>
      <c r="O12" s="775"/>
      <c r="P12" s="316"/>
      <c r="Q12" s="317"/>
      <c r="R12" s="317" t="s">
        <v>233</v>
      </c>
      <c r="S12" s="775"/>
      <c r="T12" s="325" t="str">
        <f>H33</f>
        <v>%</v>
      </c>
      <c r="U12" s="328"/>
      <c r="V12" s="331"/>
      <c r="W12" s="938"/>
      <c r="X12" s="299"/>
      <c r="Z12" s="301"/>
      <c r="AA12" s="775"/>
      <c r="AB12" s="316"/>
      <c r="AC12" s="317" t="s">
        <v>233</v>
      </c>
      <c r="AD12" s="775"/>
      <c r="AE12" s="325" t="str">
        <f>H34</f>
        <v>%</v>
      </c>
      <c r="AF12" s="327"/>
      <c r="AG12" s="328"/>
      <c r="AH12" s="331"/>
      <c r="AI12" s="938"/>
      <c r="AJ12" s="299"/>
      <c r="AL12" s="301"/>
      <c r="AM12" s="775"/>
      <c r="AN12" s="316"/>
      <c r="AO12" s="317" t="s">
        <v>233</v>
      </c>
      <c r="AP12" s="775"/>
      <c r="AQ12" s="325" t="s">
        <v>132</v>
      </c>
      <c r="AR12" s="327"/>
      <c r="AS12" s="328"/>
      <c r="AT12" s="331"/>
      <c r="AU12" s="938"/>
      <c r="AV12" s="299"/>
      <c r="AW12" s="300"/>
      <c r="AY12" s="301"/>
      <c r="AZ12" s="775"/>
      <c r="BA12" s="316"/>
      <c r="BB12" s="317" t="s">
        <v>233</v>
      </c>
      <c r="BC12" s="775"/>
      <c r="BD12" s="325" t="s">
        <v>132</v>
      </c>
      <c r="BE12" s="327"/>
      <c r="BF12" s="328"/>
      <c r="BG12" s="331"/>
      <c r="BH12" s="938"/>
      <c r="BI12" s="299"/>
      <c r="BL12" s="301"/>
      <c r="BM12" s="775"/>
      <c r="BN12" s="316"/>
      <c r="BO12" s="317" t="s">
        <v>233</v>
      </c>
      <c r="BP12" s="775"/>
      <c r="BQ12" s="325" t="s">
        <v>132</v>
      </c>
      <c r="BR12" s="327"/>
      <c r="BS12" s="328"/>
      <c r="BT12" s="331"/>
      <c r="BU12" s="938"/>
      <c r="BV12" s="299"/>
    </row>
    <row r="13" spans="1:74" s="78" customFormat="1" ht="17.25" thickTop="1" thickBot="1">
      <c r="A13" s="407"/>
      <c r="B13" s="404"/>
      <c r="C13" s="214" t="s">
        <v>1175</v>
      </c>
      <c r="D13" s="405"/>
      <c r="E13" s="405"/>
      <c r="F13" s="534"/>
      <c r="G13" s="1055"/>
      <c r="H13" s="1055"/>
      <c r="I13" s="904"/>
      <c r="J13" s="904"/>
      <c r="K13" s="905"/>
      <c r="L13" s="306"/>
      <c r="N13" s="301"/>
      <c r="O13" s="405"/>
      <c r="P13" s="316"/>
      <c r="Q13" s="317"/>
      <c r="R13" s="317" t="s">
        <v>698</v>
      </c>
      <c r="S13" s="405"/>
      <c r="T13" s="322" t="e">
        <f>PMT(T9/12,T10*12,-T8*12)</f>
        <v>#NUM!</v>
      </c>
      <c r="U13" s="932"/>
      <c r="V13" s="309"/>
      <c r="W13" s="309"/>
      <c r="X13" s="299"/>
      <c r="Y13" s="309"/>
      <c r="Z13" s="301"/>
      <c r="AA13" s="405"/>
      <c r="AB13" s="316"/>
      <c r="AC13" s="317" t="s">
        <v>698</v>
      </c>
      <c r="AD13" s="405"/>
      <c r="AE13" s="322" t="e">
        <f>PMT(AE9/12,AE10*12,-AE8*12)</f>
        <v>#NUM!</v>
      </c>
      <c r="AF13" s="328"/>
      <c r="AG13" s="932"/>
      <c r="AH13" s="309"/>
      <c r="AI13" s="309"/>
      <c r="AJ13" s="299"/>
      <c r="AK13" s="294"/>
      <c r="AL13" s="301"/>
      <c r="AM13" s="405"/>
      <c r="AN13" s="316"/>
      <c r="AO13" s="317" t="s">
        <v>698</v>
      </c>
      <c r="AP13" s="405"/>
      <c r="AQ13" s="322" t="e">
        <f>PMT(AQ9/12,AQ10*12,-AQ8*12)</f>
        <v>#NUM!</v>
      </c>
      <c r="AR13" s="328"/>
      <c r="AS13" s="932"/>
      <c r="AT13" s="309"/>
      <c r="AU13" s="309"/>
      <c r="AV13" s="299"/>
      <c r="AW13" s="294"/>
      <c r="AX13" s="294"/>
      <c r="AY13" s="301"/>
      <c r="AZ13" s="405"/>
      <c r="BA13" s="316"/>
      <c r="BB13" s="317" t="s">
        <v>698</v>
      </c>
      <c r="BC13" s="405"/>
      <c r="BD13" s="322" t="e">
        <f>PMT(BD9/12,BD10*12,-BD8*12)</f>
        <v>#NUM!</v>
      </c>
      <c r="BE13" s="328"/>
      <c r="BF13" s="932"/>
      <c r="BG13" s="309"/>
      <c r="BH13" s="309"/>
      <c r="BI13" s="299"/>
      <c r="BL13" s="301"/>
      <c r="BM13" s="405"/>
      <c r="BN13" s="316"/>
      <c r="BO13" s="317" t="s">
        <v>698</v>
      </c>
      <c r="BP13" s="405"/>
      <c r="BQ13" s="322" t="e">
        <f>PMT(BQ9/12,BQ10*12,-BQ8*12)</f>
        <v>#NUM!</v>
      </c>
      <c r="BR13" s="328"/>
      <c r="BS13" s="932"/>
      <c r="BT13" s="309"/>
      <c r="BU13" s="309"/>
      <c r="BV13" s="299"/>
    </row>
    <row r="14" spans="1:74" s="84" customFormat="1" ht="17.25" thickTop="1" thickBot="1">
      <c r="A14" s="407">
        <f>A11+1</f>
        <v>85</v>
      </c>
      <c r="B14" s="404" t="s">
        <v>636</v>
      </c>
      <c r="C14" s="1102" t="s">
        <v>683</v>
      </c>
      <c r="D14" s="1102"/>
      <c r="E14" s="1102"/>
      <c r="F14" s="1064" t="s">
        <v>791</v>
      </c>
      <c r="G14" s="211"/>
      <c r="H14" s="211"/>
      <c r="I14" s="904"/>
      <c r="J14" s="904"/>
      <c r="K14" s="905"/>
      <c r="L14" s="314"/>
      <c r="N14" s="301"/>
      <c r="O14" s="211"/>
      <c r="P14" s="316"/>
      <c r="Q14" s="317"/>
      <c r="R14" s="317" t="s">
        <v>699</v>
      </c>
      <c r="S14" s="313"/>
      <c r="T14" s="322" t="e">
        <f>T13/T8</f>
        <v>#NUM!</v>
      </c>
      <c r="U14" s="932"/>
      <c r="V14" s="821"/>
      <c r="W14" s="821" t="s">
        <v>522</v>
      </c>
      <c r="X14" s="299"/>
      <c r="Z14" s="301"/>
      <c r="AA14" s="211"/>
      <c r="AB14" s="316"/>
      <c r="AC14" s="317" t="s">
        <v>699</v>
      </c>
      <c r="AD14" s="313"/>
      <c r="AE14" s="322" t="e">
        <f>AE13/AE8</f>
        <v>#NUM!</v>
      </c>
      <c r="AF14" s="328"/>
      <c r="AG14" s="932"/>
      <c r="AH14" s="821"/>
      <c r="AI14" s="821" t="s">
        <v>522</v>
      </c>
      <c r="AJ14" s="299"/>
      <c r="AK14" s="821"/>
      <c r="AL14" s="301"/>
      <c r="AM14" s="211"/>
      <c r="AN14" s="316"/>
      <c r="AO14" s="317" t="s">
        <v>699</v>
      </c>
      <c r="AP14" s="313"/>
      <c r="AQ14" s="322" t="e">
        <f>AQ13/AQ8</f>
        <v>#NUM!</v>
      </c>
      <c r="AR14" s="328"/>
      <c r="AS14" s="932"/>
      <c r="AT14" s="821"/>
      <c r="AU14" s="821" t="s">
        <v>522</v>
      </c>
      <c r="AV14" s="299"/>
      <c r="AY14" s="301"/>
      <c r="AZ14" s="211"/>
      <c r="BA14" s="316"/>
      <c r="BB14" s="317" t="s">
        <v>699</v>
      </c>
      <c r="BC14" s="313"/>
      <c r="BD14" s="322" t="e">
        <f>BD13/BD8</f>
        <v>#NUM!</v>
      </c>
      <c r="BE14" s="328"/>
      <c r="BF14" s="932"/>
      <c r="BG14" s="821"/>
      <c r="BH14" s="821" t="s">
        <v>522</v>
      </c>
      <c r="BI14" s="299"/>
      <c r="BL14" s="301"/>
      <c r="BM14" s="211"/>
      <c r="BN14" s="316"/>
      <c r="BO14" s="317" t="s">
        <v>699</v>
      </c>
      <c r="BP14" s="313"/>
      <c r="BQ14" s="322" t="e">
        <f>BQ13/BQ8</f>
        <v>#NUM!</v>
      </c>
      <c r="BR14" s="328"/>
      <c r="BS14" s="932"/>
      <c r="BT14" s="821"/>
      <c r="BU14" s="821" t="s">
        <v>522</v>
      </c>
      <c r="BV14" s="299"/>
    </row>
    <row r="15" spans="1:74" s="84" customFormat="1" ht="17.25" thickTop="1" thickBot="1">
      <c r="A15" s="407">
        <f>A14+1</f>
        <v>86</v>
      </c>
      <c r="B15" s="404" t="s">
        <v>636</v>
      </c>
      <c r="C15" s="211" t="s">
        <v>1176</v>
      </c>
      <c r="D15" s="1294"/>
      <c r="E15" s="1295"/>
      <c r="F15" s="1064" t="s">
        <v>791</v>
      </c>
      <c r="G15" s="211"/>
      <c r="H15" s="211"/>
      <c r="I15" s="904"/>
      <c r="J15" s="904"/>
      <c r="K15" s="905"/>
      <c r="L15" s="314"/>
      <c r="N15" s="301"/>
      <c r="O15" s="211"/>
      <c r="P15" s="332"/>
      <c r="Q15" s="317"/>
      <c r="R15" s="317" t="s">
        <v>1127</v>
      </c>
      <c r="S15" s="211"/>
      <c r="T15" s="330" t="str">
        <f>TEXT(loanclosing,"yyyy")</f>
        <v>1900</v>
      </c>
      <c r="U15" s="933"/>
      <c r="V15" s="821"/>
      <c r="W15" s="872">
        <f>T8*T12</f>
        <v>0</v>
      </c>
      <c r="X15" s="299"/>
      <c r="Z15" s="301"/>
      <c r="AA15" s="211"/>
      <c r="AB15" s="332"/>
      <c r="AC15" s="317" t="s">
        <v>1127</v>
      </c>
      <c r="AD15" s="211"/>
      <c r="AE15" s="330" t="str">
        <f>TEXT(loanclosing,"yyyy")</f>
        <v>1900</v>
      </c>
      <c r="AF15" s="325"/>
      <c r="AG15" s="933"/>
      <c r="AH15" s="821"/>
      <c r="AI15" s="872">
        <f>AE8*AE12</f>
        <v>0</v>
      </c>
      <c r="AJ15" s="299"/>
      <c r="AK15" s="821"/>
      <c r="AL15" s="301"/>
      <c r="AM15" s="211"/>
      <c r="AN15" s="332"/>
      <c r="AO15" s="317" t="s">
        <v>1127</v>
      </c>
      <c r="AP15" s="211"/>
      <c r="AQ15" s="330" t="str">
        <f>TEXT(loanclosing,"yyyy")</f>
        <v>1900</v>
      </c>
      <c r="AR15" s="325"/>
      <c r="AS15" s="933"/>
      <c r="AT15" s="821"/>
      <c r="AU15" s="872">
        <f>AQ8*AQ12</f>
        <v>0</v>
      </c>
      <c r="AV15" s="299"/>
      <c r="AY15" s="301"/>
      <c r="AZ15" s="211"/>
      <c r="BA15" s="332"/>
      <c r="BB15" s="317" t="s">
        <v>1127</v>
      </c>
      <c r="BC15" s="211"/>
      <c r="BD15" s="330" t="str">
        <f>TEXT(loanclosing,"yyyy")</f>
        <v>1900</v>
      </c>
      <c r="BE15" s="325"/>
      <c r="BF15" s="933"/>
      <c r="BG15" s="821"/>
      <c r="BH15" s="872">
        <f>BD8*BD12</f>
        <v>0</v>
      </c>
      <c r="BI15" s="299"/>
      <c r="BL15" s="301"/>
      <c r="BM15" s="211"/>
      <c r="BN15" s="332"/>
      <c r="BO15" s="317" t="s">
        <v>1127</v>
      </c>
      <c r="BP15" s="211"/>
      <c r="BQ15" s="330" t="str">
        <f>TEXT(loanclosing,"yyyy")</f>
        <v>1900</v>
      </c>
      <c r="BR15" s="325"/>
      <c r="BS15" s="933"/>
      <c r="BT15" s="821"/>
      <c r="BU15" s="872">
        <f>BQ8*BQ12</f>
        <v>0</v>
      </c>
      <c r="BV15" s="299"/>
    </row>
    <row r="16" spans="1:74" s="84" customFormat="1" ht="17.25" thickTop="1" thickBot="1">
      <c r="A16" s="407">
        <f>A15+1</f>
        <v>87</v>
      </c>
      <c r="B16" s="404" t="s">
        <v>636</v>
      </c>
      <c r="C16" s="211" t="s">
        <v>1176</v>
      </c>
      <c r="D16" s="1294"/>
      <c r="E16" s="1295"/>
      <c r="F16" s="1064" t="s">
        <v>791</v>
      </c>
      <c r="G16" s="211"/>
      <c r="H16" s="211"/>
      <c r="I16" s="904"/>
      <c r="J16" s="904"/>
      <c r="K16" s="905"/>
      <c r="L16" s="333"/>
      <c r="N16" s="301"/>
      <c r="O16" s="816"/>
      <c r="P16" s="934" t="s">
        <v>1131</v>
      </c>
      <c r="Q16" s="334"/>
      <c r="R16" s="334"/>
      <c r="S16" s="934" t="s">
        <v>1133</v>
      </c>
      <c r="T16" s="934" t="s">
        <v>1134</v>
      </c>
      <c r="U16" s="934" t="s">
        <v>1134</v>
      </c>
      <c r="V16" s="821" t="s">
        <v>230</v>
      </c>
      <c r="W16" s="821" t="s">
        <v>1491</v>
      </c>
      <c r="X16" s="299"/>
      <c r="Z16" s="301"/>
      <c r="AA16" s="816"/>
      <c r="AB16" s="934" t="s">
        <v>1131</v>
      </c>
      <c r="AC16" s="334"/>
      <c r="AD16" s="334"/>
      <c r="AE16" s="934" t="s">
        <v>1133</v>
      </c>
      <c r="AF16" s="934" t="s">
        <v>1134</v>
      </c>
      <c r="AG16" s="934" t="s">
        <v>1134</v>
      </c>
      <c r="AH16" s="821" t="s">
        <v>230</v>
      </c>
      <c r="AI16" s="821" t="s">
        <v>1491</v>
      </c>
      <c r="AJ16" s="299"/>
      <c r="AL16" s="301"/>
      <c r="AM16" s="816"/>
      <c r="AN16" s="934" t="s">
        <v>1131</v>
      </c>
      <c r="AO16" s="334"/>
      <c r="AP16" s="334"/>
      <c r="AQ16" s="934" t="s">
        <v>1133</v>
      </c>
      <c r="AR16" s="934" t="s">
        <v>1134</v>
      </c>
      <c r="AS16" s="934" t="s">
        <v>1134</v>
      </c>
      <c r="AT16" s="821" t="s">
        <v>230</v>
      </c>
      <c r="AU16" s="821" t="s">
        <v>1491</v>
      </c>
      <c r="AV16" s="299"/>
      <c r="AY16" s="301"/>
      <c r="AZ16" s="816"/>
      <c r="BA16" s="934" t="s">
        <v>1131</v>
      </c>
      <c r="BB16" s="334"/>
      <c r="BC16" s="334"/>
      <c r="BD16" s="934" t="s">
        <v>1133</v>
      </c>
      <c r="BE16" s="934" t="s">
        <v>1134</v>
      </c>
      <c r="BF16" s="934" t="s">
        <v>1134</v>
      </c>
      <c r="BG16" s="821" t="s">
        <v>230</v>
      </c>
      <c r="BH16" s="821" t="s">
        <v>1491</v>
      </c>
      <c r="BI16" s="299"/>
      <c r="BL16" s="301"/>
      <c r="BM16" s="816"/>
      <c r="BN16" s="934" t="s">
        <v>1131</v>
      </c>
      <c r="BO16" s="334"/>
      <c r="BP16" s="334"/>
      <c r="BQ16" s="934" t="s">
        <v>1133</v>
      </c>
      <c r="BR16" s="934" t="s">
        <v>1134</v>
      </c>
      <c r="BS16" s="934" t="s">
        <v>1134</v>
      </c>
      <c r="BT16" s="821" t="s">
        <v>230</v>
      </c>
      <c r="BU16" s="821" t="s">
        <v>1491</v>
      </c>
      <c r="BV16" s="299"/>
    </row>
    <row r="17" spans="1:74" s="84" customFormat="1" ht="16.5" thickTop="1">
      <c r="A17" s="407">
        <f>A16+1</f>
        <v>88</v>
      </c>
      <c r="B17" s="404" t="s">
        <v>636</v>
      </c>
      <c r="C17" s="1105" t="s">
        <v>684</v>
      </c>
      <c r="D17" s="1102"/>
      <c r="E17" s="1102"/>
      <c r="F17" s="1050">
        <f>SUM(F14:F16)</f>
        <v>0</v>
      </c>
      <c r="G17" s="211"/>
      <c r="H17" s="211"/>
      <c r="I17" s="904"/>
      <c r="J17" s="904"/>
      <c r="K17" s="905"/>
      <c r="L17" s="323"/>
      <c r="N17" s="301"/>
      <c r="O17" s="816" t="s">
        <v>1127</v>
      </c>
      <c r="P17" s="931" t="s">
        <v>1132</v>
      </c>
      <c r="Q17" s="931" t="s">
        <v>1128</v>
      </c>
      <c r="R17" s="931" t="s">
        <v>1126</v>
      </c>
      <c r="S17" s="931" t="s">
        <v>1132</v>
      </c>
      <c r="T17" s="931" t="s">
        <v>1135</v>
      </c>
      <c r="U17" s="931" t="s">
        <v>1136</v>
      </c>
      <c r="V17" s="820" t="str">
        <f>K33</f>
        <v>%</v>
      </c>
      <c r="W17" s="821" t="s">
        <v>521</v>
      </c>
      <c r="X17" s="299"/>
      <c r="Y17" s="331"/>
      <c r="Z17" s="301"/>
      <c r="AA17" s="816" t="s">
        <v>1127</v>
      </c>
      <c r="AB17" s="931" t="s">
        <v>1132</v>
      </c>
      <c r="AC17" s="931" t="s">
        <v>1128</v>
      </c>
      <c r="AD17" s="931" t="s">
        <v>1126</v>
      </c>
      <c r="AE17" s="931" t="s">
        <v>1132</v>
      </c>
      <c r="AF17" s="931" t="s">
        <v>1135</v>
      </c>
      <c r="AG17" s="931" t="s">
        <v>1136</v>
      </c>
      <c r="AH17" s="820" t="str">
        <f>K34</f>
        <v>%</v>
      </c>
      <c r="AI17" s="821" t="s">
        <v>521</v>
      </c>
      <c r="AJ17" s="299"/>
      <c r="AL17" s="301"/>
      <c r="AM17" s="816" t="s">
        <v>1127</v>
      </c>
      <c r="AN17" s="931" t="s">
        <v>1132</v>
      </c>
      <c r="AO17" s="931" t="s">
        <v>1128</v>
      </c>
      <c r="AP17" s="931" t="s">
        <v>1126</v>
      </c>
      <c r="AQ17" s="931" t="s">
        <v>1132</v>
      </c>
      <c r="AR17" s="931" t="s">
        <v>1135</v>
      </c>
      <c r="AS17" s="931" t="s">
        <v>1136</v>
      </c>
      <c r="AT17" s="820" t="str">
        <f>K35</f>
        <v>%</v>
      </c>
      <c r="AU17" s="821" t="s">
        <v>521</v>
      </c>
      <c r="AV17" s="299"/>
      <c r="AY17" s="301"/>
      <c r="AZ17" s="816" t="s">
        <v>1127</v>
      </c>
      <c r="BA17" s="931" t="s">
        <v>1132</v>
      </c>
      <c r="BB17" s="931" t="s">
        <v>1128</v>
      </c>
      <c r="BC17" s="931" t="s">
        <v>1126</v>
      </c>
      <c r="BD17" s="931" t="s">
        <v>1132</v>
      </c>
      <c r="BE17" s="931" t="s">
        <v>1135</v>
      </c>
      <c r="BF17" s="931" t="s">
        <v>1136</v>
      </c>
      <c r="BG17" s="820" t="str">
        <f>K36</f>
        <v>%</v>
      </c>
      <c r="BH17" s="821" t="s">
        <v>521</v>
      </c>
      <c r="BI17" s="299"/>
      <c r="BL17" s="301"/>
      <c r="BM17" s="816" t="s">
        <v>1127</v>
      </c>
      <c r="BN17" s="931" t="s">
        <v>1132</v>
      </c>
      <c r="BO17" s="931" t="s">
        <v>1128</v>
      </c>
      <c r="BP17" s="931" t="s">
        <v>1126</v>
      </c>
      <c r="BQ17" s="931" t="s">
        <v>1132</v>
      </c>
      <c r="BR17" s="931" t="s">
        <v>458</v>
      </c>
      <c r="BS17" s="931" t="s">
        <v>1136</v>
      </c>
      <c r="BT17" s="820" t="str">
        <f>K38</f>
        <v>%</v>
      </c>
      <c r="BU17" s="821" t="s">
        <v>521</v>
      </c>
      <c r="BV17" s="299"/>
    </row>
    <row r="18" spans="1:74" ht="15.75">
      <c r="A18" s="302"/>
      <c r="B18" s="222"/>
      <c r="C18" s="775"/>
      <c r="D18" s="250"/>
      <c r="E18" s="250"/>
      <c r="F18" s="250"/>
      <c r="G18" s="250"/>
      <c r="H18" s="250"/>
      <c r="I18" s="250"/>
      <c r="J18" s="250"/>
      <c r="K18" s="250"/>
      <c r="L18" s="335"/>
      <c r="N18" s="301"/>
      <c r="O18" s="336">
        <f>VALUE(T15)</f>
        <v>1900</v>
      </c>
      <c r="P18" s="337" t="str">
        <f>T8</f>
        <v>$</v>
      </c>
      <c r="Q18" s="337">
        <f>IF(P18=0,0,T13-R18)</f>
        <v>0</v>
      </c>
      <c r="R18" s="337">
        <f>P18-S18</f>
        <v>0</v>
      </c>
      <c r="S18" s="337">
        <f>IF(T10=0,0,PV(T9/12,MAX(0,T18),-T13/12))</f>
        <v>0</v>
      </c>
      <c r="T18" s="337">
        <f>MAX((T10*12)-12,0)</f>
        <v>0</v>
      </c>
      <c r="U18" s="337">
        <f>MAX((T11*12)-12,0)</f>
        <v>0</v>
      </c>
      <c r="V18" s="935">
        <f t="shared" ref="V18:V58" si="0">(P18+S18)/2*V$17</f>
        <v>0</v>
      </c>
      <c r="W18" s="936">
        <f t="shared" ref="W18:W58" si="1">Q18+R18+IF(Q18+R18=0,0,$W$15)</f>
        <v>0</v>
      </c>
      <c r="X18" s="299"/>
      <c r="Z18" s="301"/>
      <c r="AA18" s="336">
        <f>VALUE(AE15)</f>
        <v>1900</v>
      </c>
      <c r="AB18" s="337" t="str">
        <f>AE8</f>
        <v>$</v>
      </c>
      <c r="AC18" s="337">
        <f>IF(AB18=0,0,AE13-AD18)</f>
        <v>0</v>
      </c>
      <c r="AD18" s="337">
        <f>AB18-AE18</f>
        <v>0</v>
      </c>
      <c r="AE18" s="337">
        <f>IF(AE10=0,0,PV(AE9/12,MAX(0,AF18),-AE13/12))</f>
        <v>0</v>
      </c>
      <c r="AF18" s="337">
        <f>MAX((AE10*12)-12,0)</f>
        <v>0</v>
      </c>
      <c r="AG18" s="337">
        <f>MAX((AE11*12)-12,0)</f>
        <v>0</v>
      </c>
      <c r="AH18" s="935">
        <f t="shared" ref="AH18:AH58" si="2">(AB18+AE18)/2*AH$17</f>
        <v>0</v>
      </c>
      <c r="AI18" s="936">
        <f t="shared" ref="AI18:AI58" si="3">AC18+AD18+IF(AC18+AD18=0,0,$AI$15)</f>
        <v>0</v>
      </c>
      <c r="AJ18" s="299"/>
      <c r="AL18" s="301"/>
      <c r="AM18" s="336">
        <f>VALUE(AQ15)</f>
        <v>1900</v>
      </c>
      <c r="AN18" s="337" t="str">
        <f>AQ8</f>
        <v>$</v>
      </c>
      <c r="AO18" s="337">
        <f>IF(AN18=0,0,AQ13-AP18)</f>
        <v>0</v>
      </c>
      <c r="AP18" s="337">
        <f>AN18-AQ18</f>
        <v>0</v>
      </c>
      <c r="AQ18" s="337">
        <f>IF(AQ10=0,0,PV(AQ9/12,MAX(0,AR18),-AQ13/12))</f>
        <v>0</v>
      </c>
      <c r="AR18" s="337">
        <f>MAX((AQ10*12)-12,0)</f>
        <v>0</v>
      </c>
      <c r="AS18" s="337">
        <f>MAX((AQ11*12)-12,0)</f>
        <v>0</v>
      </c>
      <c r="AT18" s="935">
        <f t="shared" ref="AT18:AT58" si="4">(AN18+AQ18)/2*AT$17</f>
        <v>0</v>
      </c>
      <c r="AU18" s="936">
        <f t="shared" ref="AU18:AU58" si="5">AO18+AP18+IF(AO18+AP18=0,0,$AU$15)</f>
        <v>0</v>
      </c>
      <c r="AV18" s="299"/>
      <c r="AY18" s="301"/>
      <c r="AZ18" s="336">
        <f>VALUE(BD15)</f>
        <v>1900</v>
      </c>
      <c r="BA18" s="337" t="str">
        <f>BD8</f>
        <v>$</v>
      </c>
      <c r="BB18" s="337">
        <f>IF(BA18=0,0,BD13-BC18)</f>
        <v>0</v>
      </c>
      <c r="BC18" s="337">
        <f>BA18-BD18</f>
        <v>0</v>
      </c>
      <c r="BD18" s="337">
        <f>IF(BD10=0,0,PV(BD9/12,MAX(0,BE18),-BD13/12))</f>
        <v>0</v>
      </c>
      <c r="BE18" s="337">
        <f>MAX((BD10*12)-12,0)</f>
        <v>0</v>
      </c>
      <c r="BF18" s="337">
        <f>MAX((BD11*12)-12,0)</f>
        <v>0</v>
      </c>
      <c r="BG18" s="935">
        <f t="shared" ref="BG18:BG58" si="6">(BA18+BD18)/2*BG$17</f>
        <v>0</v>
      </c>
      <c r="BH18" s="936">
        <f t="shared" ref="BH18:BH58" si="7">BB18+BC18+IF(BB18+BC18=0,0,$BH$15)</f>
        <v>0</v>
      </c>
      <c r="BI18" s="299"/>
      <c r="BL18" s="301"/>
      <c r="BM18" s="336">
        <f>VALUE(BQ15)</f>
        <v>1900</v>
      </c>
      <c r="BN18" s="337" t="str">
        <f>BQ8</f>
        <v>$</v>
      </c>
      <c r="BO18" s="337">
        <f>IF(BN18=0,0,BQ13-BP18)</f>
        <v>0</v>
      </c>
      <c r="BP18" s="337">
        <f>BN18-BQ18</f>
        <v>0</v>
      </c>
      <c r="BQ18" s="337">
        <f>IF(BQ10=0,0,PV(BQ9/12,MAX(0,BR18),-BQ13/12))</f>
        <v>0</v>
      </c>
      <c r="BR18" s="337">
        <f>MAX((BQ10*12)-12,0)</f>
        <v>0</v>
      </c>
      <c r="BS18" s="337">
        <f>MAX((BQ11*12)-12,0)</f>
        <v>0</v>
      </c>
      <c r="BT18" s="935">
        <f t="shared" ref="BT18:BT58" si="8">(BN18+BQ18)/2*BT$17</f>
        <v>0</v>
      </c>
      <c r="BU18" s="936">
        <f t="shared" ref="BU18:BU58" si="9">BO18+BP18+IF(BO18+BP18=0,0,$BU$15)</f>
        <v>0</v>
      </c>
      <c r="BV18" s="299"/>
    </row>
    <row r="19" spans="1:74" s="78" customFormat="1" ht="15.75">
      <c r="A19" s="302"/>
      <c r="B19" s="222"/>
      <c r="C19" s="214" t="s">
        <v>1177</v>
      </c>
      <c r="D19" s="304"/>
      <c r="E19" s="304"/>
      <c r="F19" s="338" t="s">
        <v>1154</v>
      </c>
      <c r="G19" s="305" t="s">
        <v>661</v>
      </c>
      <c r="H19" s="305" t="s">
        <v>1178</v>
      </c>
      <c r="I19" s="305" t="s">
        <v>1179</v>
      </c>
      <c r="J19" s="250"/>
      <c r="K19" s="250"/>
      <c r="L19" s="339"/>
      <c r="N19" s="301"/>
      <c r="O19" s="336">
        <f t="shared" ref="O19:O39" si="10">O18+1</f>
        <v>1901</v>
      </c>
      <c r="P19" s="337">
        <f t="shared" ref="P19:P36" si="11">IF(U18=0,0,S18)</f>
        <v>0</v>
      </c>
      <c r="Q19" s="337">
        <f>IF(P19=0,0,T13-R19)</f>
        <v>0</v>
      </c>
      <c r="R19" s="337">
        <f t="shared" ref="R19:R39" si="12">P19-S19</f>
        <v>0</v>
      </c>
      <c r="S19" s="337">
        <f>IF(U18=0,0,PV(T9/12,MAX(0,T19),-T13/12))</f>
        <v>0</v>
      </c>
      <c r="T19" s="337">
        <f>MAX(T18-12,0)</f>
        <v>0</v>
      </c>
      <c r="U19" s="337">
        <f>MAX(U18-12,0)</f>
        <v>0</v>
      </c>
      <c r="V19" s="935">
        <f t="shared" si="0"/>
        <v>0</v>
      </c>
      <c r="W19" s="936">
        <f t="shared" si="1"/>
        <v>0</v>
      </c>
      <c r="X19" s="299"/>
      <c r="Z19" s="301"/>
      <c r="AA19" s="336">
        <f t="shared" ref="AA19:AA39" si="13">AA18+1</f>
        <v>1901</v>
      </c>
      <c r="AB19" s="337">
        <f t="shared" ref="AB19:AB36" si="14">IF(AG18=0,0,AE18)</f>
        <v>0</v>
      </c>
      <c r="AC19" s="337">
        <f>IF(AB19=0,0,AE13-AD19)</f>
        <v>0</v>
      </c>
      <c r="AD19" s="337">
        <f t="shared" ref="AD19:AD39" si="15">AB19-AE19</f>
        <v>0</v>
      </c>
      <c r="AE19" s="337">
        <f>IF(AG18=0,0,PV(AE9/12,MAX(0,AF19),-AE13/12))</f>
        <v>0</v>
      </c>
      <c r="AF19" s="337">
        <f>MAX(AF18-12,0)</f>
        <v>0</v>
      </c>
      <c r="AG19" s="337">
        <f>MAX(AG18-12,0)</f>
        <v>0</v>
      </c>
      <c r="AH19" s="935">
        <f t="shared" si="2"/>
        <v>0</v>
      </c>
      <c r="AI19" s="936">
        <f t="shared" si="3"/>
        <v>0</v>
      </c>
      <c r="AJ19" s="299"/>
      <c r="AL19" s="301"/>
      <c r="AM19" s="336">
        <f t="shared" ref="AM19:AM39" si="16">AM18+1</f>
        <v>1901</v>
      </c>
      <c r="AN19" s="337">
        <f t="shared" ref="AN19:AN36" si="17">IF(AS18=0,0,AQ18)</f>
        <v>0</v>
      </c>
      <c r="AO19" s="337">
        <f>IF(AN19=0,0,AQ13-AP19)</f>
        <v>0</v>
      </c>
      <c r="AP19" s="337">
        <f t="shared" ref="AP19:AP39" si="18">AN19-AQ19</f>
        <v>0</v>
      </c>
      <c r="AQ19" s="337">
        <f>IF(AS18=0,0,PV(AQ9/12,MAX(0,AR19),-AQ13/12))</f>
        <v>0</v>
      </c>
      <c r="AR19" s="337">
        <f>MAX(AR18-12,0)</f>
        <v>0</v>
      </c>
      <c r="AS19" s="337">
        <f>MAX(AS18-12,0)</f>
        <v>0</v>
      </c>
      <c r="AT19" s="935">
        <f t="shared" si="4"/>
        <v>0</v>
      </c>
      <c r="AU19" s="936">
        <f t="shared" si="5"/>
        <v>0</v>
      </c>
      <c r="AV19" s="299"/>
      <c r="AY19" s="301"/>
      <c r="AZ19" s="336">
        <f t="shared" ref="AZ19:AZ39" si="19">AZ18+1</f>
        <v>1901</v>
      </c>
      <c r="BA19" s="337">
        <f t="shared" ref="BA19:BA36" si="20">IF(BF18=0,0,BD18)</f>
        <v>0</v>
      </c>
      <c r="BB19" s="337">
        <f>IF(BA19=0,0,BD13-BC19)</f>
        <v>0</v>
      </c>
      <c r="BC19" s="337">
        <f t="shared" ref="BC19:BC39" si="21">BA19-BD19</f>
        <v>0</v>
      </c>
      <c r="BD19" s="337">
        <f>IF(BF18=0,0,PV(BD9/12,MAX(0,BE19),-BD13/12))</f>
        <v>0</v>
      </c>
      <c r="BE19" s="337">
        <f>MAX(BE18-12,0)</f>
        <v>0</v>
      </c>
      <c r="BF19" s="337">
        <f>MAX(BF18-12,0)</f>
        <v>0</v>
      </c>
      <c r="BG19" s="935">
        <f t="shared" si="6"/>
        <v>0</v>
      </c>
      <c r="BH19" s="936">
        <f t="shared" si="7"/>
        <v>0</v>
      </c>
      <c r="BI19" s="299"/>
      <c r="BL19" s="301"/>
      <c r="BM19" s="336">
        <f t="shared" ref="BM19:BM39" si="22">BM18+1</f>
        <v>1901</v>
      </c>
      <c r="BN19" s="337">
        <f t="shared" ref="BN19:BN36" si="23">IF(BS18=0,0,BQ18)</f>
        <v>0</v>
      </c>
      <c r="BO19" s="337">
        <f>IF(BN19=0,0,BQ13-BP19)</f>
        <v>0</v>
      </c>
      <c r="BP19" s="337">
        <f t="shared" ref="BP19:BP39" si="24">BN19-BQ19</f>
        <v>0</v>
      </c>
      <c r="BQ19" s="337">
        <f>IF(BS18=0,0,PV(BQ9/12,MAX(0,BR19),-BQ13/12))</f>
        <v>0</v>
      </c>
      <c r="BR19" s="337">
        <f>MAX(BR18-12,0)</f>
        <v>0</v>
      </c>
      <c r="BS19" s="337">
        <f>MAX(BS18-12,0)</f>
        <v>0</v>
      </c>
      <c r="BT19" s="935">
        <f t="shared" si="8"/>
        <v>0</v>
      </c>
      <c r="BU19" s="936">
        <f t="shared" si="9"/>
        <v>0</v>
      </c>
      <c r="BV19" s="299"/>
    </row>
    <row r="20" spans="1:74" s="101" customFormat="1" ht="15.75">
      <c r="A20" s="310">
        <f>A17+1</f>
        <v>89</v>
      </c>
      <c r="B20" s="311" t="s">
        <v>636</v>
      </c>
      <c r="C20" s="1106" t="s">
        <v>1186</v>
      </c>
      <c r="D20" s="776"/>
      <c r="E20" s="776"/>
      <c r="F20" s="751">
        <v>0</v>
      </c>
      <c r="G20" s="752" t="s">
        <v>1180</v>
      </c>
      <c r="H20" s="756" t="s">
        <v>1181</v>
      </c>
      <c r="I20" s="756" t="s">
        <v>1181</v>
      </c>
      <c r="J20" s="250"/>
      <c r="K20" s="250"/>
      <c r="L20" s="340"/>
      <c r="N20" s="301"/>
      <c r="O20" s="336">
        <f t="shared" si="10"/>
        <v>1902</v>
      </c>
      <c r="P20" s="337">
        <f t="shared" si="11"/>
        <v>0</v>
      </c>
      <c r="Q20" s="337">
        <f>IF(P20=0,0,T13-R20)</f>
        <v>0</v>
      </c>
      <c r="R20" s="337">
        <f t="shared" si="12"/>
        <v>0</v>
      </c>
      <c r="S20" s="337">
        <f>IF(U19=0,0,PV(T9/12,MAX(0,T20),-T13/12))</f>
        <v>0</v>
      </c>
      <c r="T20" s="337">
        <f t="shared" ref="T20:T39" si="25">MAX(T19-12,0)</f>
        <v>0</v>
      </c>
      <c r="U20" s="943">
        <f t="shared" ref="U20:U39" si="26">MAX(U19-12,0)</f>
        <v>0</v>
      </c>
      <c r="V20" s="944">
        <f t="shared" si="0"/>
        <v>0</v>
      </c>
      <c r="W20" s="945">
        <f t="shared" si="1"/>
        <v>0</v>
      </c>
      <c r="X20" s="299"/>
      <c r="Z20" s="301"/>
      <c r="AA20" s="336">
        <f t="shared" si="13"/>
        <v>1902</v>
      </c>
      <c r="AB20" s="337">
        <f t="shared" si="14"/>
        <v>0</v>
      </c>
      <c r="AC20" s="337">
        <f>IF(AB20=0,0,AE13-AD20)</f>
        <v>0</v>
      </c>
      <c r="AD20" s="337">
        <f t="shared" si="15"/>
        <v>0</v>
      </c>
      <c r="AE20" s="337">
        <f>IF(AG19=0,0,PV(AE9/12,MAX(0,AF20),-AE13/12))</f>
        <v>0</v>
      </c>
      <c r="AF20" s="337">
        <f t="shared" ref="AF20:AF39" si="27">MAX(AF19-12,0)</f>
        <v>0</v>
      </c>
      <c r="AG20" s="943">
        <f t="shared" ref="AG20:AG39" si="28">MAX(AG19-12,0)</f>
        <v>0</v>
      </c>
      <c r="AH20" s="944">
        <f t="shared" si="2"/>
        <v>0</v>
      </c>
      <c r="AI20" s="945">
        <f t="shared" si="3"/>
        <v>0</v>
      </c>
      <c r="AJ20" s="299"/>
      <c r="AL20" s="301"/>
      <c r="AM20" s="336">
        <f t="shared" si="16"/>
        <v>1902</v>
      </c>
      <c r="AN20" s="337">
        <f t="shared" si="17"/>
        <v>0</v>
      </c>
      <c r="AO20" s="337">
        <f>IF(AN20=0,0,AQ13-AP20)</f>
        <v>0</v>
      </c>
      <c r="AP20" s="337">
        <f t="shared" si="18"/>
        <v>0</v>
      </c>
      <c r="AQ20" s="337">
        <f>IF(AS19=0,0,PV(AQ9/12,MAX(0,AR20),-AQ13/12))</f>
        <v>0</v>
      </c>
      <c r="AR20" s="337">
        <f t="shared" ref="AR20:AR39" si="29">MAX(AR19-12,0)</f>
        <v>0</v>
      </c>
      <c r="AS20" s="943">
        <f t="shared" ref="AS20:AS39" si="30">MAX(AS19-12,0)</f>
        <v>0</v>
      </c>
      <c r="AT20" s="944">
        <f t="shared" si="4"/>
        <v>0</v>
      </c>
      <c r="AU20" s="945">
        <f t="shared" si="5"/>
        <v>0</v>
      </c>
      <c r="AV20" s="299"/>
      <c r="AY20" s="301"/>
      <c r="AZ20" s="336">
        <f t="shared" si="19"/>
        <v>1902</v>
      </c>
      <c r="BA20" s="337">
        <f t="shared" si="20"/>
        <v>0</v>
      </c>
      <c r="BB20" s="337">
        <f>IF(BA20=0,0,BD13-BC20)</f>
        <v>0</v>
      </c>
      <c r="BC20" s="337">
        <f t="shared" si="21"/>
        <v>0</v>
      </c>
      <c r="BD20" s="337">
        <f>IF(BF19=0,0,PV(BD9/12,MAX(0,BE20),-BD13/12))</f>
        <v>0</v>
      </c>
      <c r="BE20" s="337">
        <f t="shared" ref="BE20:BE39" si="31">MAX(BE19-12,0)</f>
        <v>0</v>
      </c>
      <c r="BF20" s="943">
        <f t="shared" ref="BF20:BF39" si="32">MAX(BF19-12,0)</f>
        <v>0</v>
      </c>
      <c r="BG20" s="944">
        <f t="shared" si="6"/>
        <v>0</v>
      </c>
      <c r="BH20" s="945">
        <f t="shared" si="7"/>
        <v>0</v>
      </c>
      <c r="BI20" s="299"/>
      <c r="BL20" s="301"/>
      <c r="BM20" s="336">
        <f t="shared" si="22"/>
        <v>1902</v>
      </c>
      <c r="BN20" s="337">
        <f t="shared" si="23"/>
        <v>0</v>
      </c>
      <c r="BO20" s="337">
        <f>IF(BN20=0,0,BQ13-BP20)</f>
        <v>0</v>
      </c>
      <c r="BP20" s="337">
        <f t="shared" si="24"/>
        <v>0</v>
      </c>
      <c r="BQ20" s="337">
        <f>IF(BS19=0,0,PV(BQ9/12,MAX(0,BR20),-BQ13/12))</f>
        <v>0</v>
      </c>
      <c r="BR20" s="337">
        <f t="shared" ref="BR20:BR39" si="33">MAX(BR19-12,0)</f>
        <v>0</v>
      </c>
      <c r="BS20" s="943">
        <f t="shared" ref="BS20:BS39" si="34">MAX(BS19-12,0)</f>
        <v>0</v>
      </c>
      <c r="BT20" s="944">
        <f t="shared" si="8"/>
        <v>0</v>
      </c>
      <c r="BU20" s="945">
        <f t="shared" si="9"/>
        <v>0</v>
      </c>
      <c r="BV20" s="299"/>
    </row>
    <row r="21" spans="1:74" s="101" customFormat="1" ht="15.75">
      <c r="A21" s="310"/>
      <c r="B21" s="311"/>
      <c r="C21" s="404" t="s">
        <v>1182</v>
      </c>
      <c r="D21" s="1294"/>
      <c r="E21" s="1295"/>
      <c r="F21" s="342"/>
      <c r="G21" s="343"/>
      <c r="H21" s="311"/>
      <c r="I21" s="311"/>
      <c r="J21" s="250"/>
      <c r="K21" s="250"/>
      <c r="L21" s="340"/>
      <c r="N21" s="301"/>
      <c r="O21" s="336">
        <f t="shared" si="10"/>
        <v>1903</v>
      </c>
      <c r="P21" s="337">
        <f t="shared" si="11"/>
        <v>0</v>
      </c>
      <c r="Q21" s="337">
        <f>IF(P21=0,0,T13-R21)</f>
        <v>0</v>
      </c>
      <c r="R21" s="337">
        <f t="shared" si="12"/>
        <v>0</v>
      </c>
      <c r="S21" s="337">
        <f>IF(U20=0,0,PV(T9/12,MAX(0,T21),-T13/12))</f>
        <v>0</v>
      </c>
      <c r="T21" s="337">
        <f t="shared" si="25"/>
        <v>0</v>
      </c>
      <c r="U21" s="943">
        <f t="shared" si="26"/>
        <v>0</v>
      </c>
      <c r="V21" s="944">
        <f t="shared" si="0"/>
        <v>0</v>
      </c>
      <c r="W21" s="945">
        <f t="shared" si="1"/>
        <v>0</v>
      </c>
      <c r="X21" s="299"/>
      <c r="Z21" s="301"/>
      <c r="AA21" s="336">
        <f t="shared" si="13"/>
        <v>1903</v>
      </c>
      <c r="AB21" s="337">
        <f t="shared" si="14"/>
        <v>0</v>
      </c>
      <c r="AC21" s="337">
        <f>IF(AB21=0,0,AE13-AD21)</f>
        <v>0</v>
      </c>
      <c r="AD21" s="337">
        <f t="shared" si="15"/>
        <v>0</v>
      </c>
      <c r="AE21" s="337">
        <f>IF(AG20=0,0,PV(AE9/12,MAX(0,AF21),-AE13/12))</f>
        <v>0</v>
      </c>
      <c r="AF21" s="337">
        <f t="shared" si="27"/>
        <v>0</v>
      </c>
      <c r="AG21" s="943">
        <f t="shared" si="28"/>
        <v>0</v>
      </c>
      <c r="AH21" s="944">
        <f t="shared" si="2"/>
        <v>0</v>
      </c>
      <c r="AI21" s="945">
        <f t="shared" si="3"/>
        <v>0</v>
      </c>
      <c r="AJ21" s="299"/>
      <c r="AL21" s="301"/>
      <c r="AM21" s="336">
        <f t="shared" si="16"/>
        <v>1903</v>
      </c>
      <c r="AN21" s="337">
        <f t="shared" si="17"/>
        <v>0</v>
      </c>
      <c r="AO21" s="337">
        <f>IF(AN21=0,0,AQ13-AP21)</f>
        <v>0</v>
      </c>
      <c r="AP21" s="337">
        <f t="shared" si="18"/>
        <v>0</v>
      </c>
      <c r="AQ21" s="337">
        <f>IF(AS20=0,0,PV(AQ9/12,MAX(0,AR21),-AQ13/12))</f>
        <v>0</v>
      </c>
      <c r="AR21" s="337">
        <f t="shared" si="29"/>
        <v>0</v>
      </c>
      <c r="AS21" s="943">
        <f t="shared" si="30"/>
        <v>0</v>
      </c>
      <c r="AT21" s="944">
        <f t="shared" si="4"/>
        <v>0</v>
      </c>
      <c r="AU21" s="945">
        <f t="shared" si="5"/>
        <v>0</v>
      </c>
      <c r="AV21" s="299"/>
      <c r="AY21" s="301"/>
      <c r="AZ21" s="336">
        <f t="shared" si="19"/>
        <v>1903</v>
      </c>
      <c r="BA21" s="337">
        <f t="shared" si="20"/>
        <v>0</v>
      </c>
      <c r="BB21" s="337">
        <f>IF(BA21=0,0,BD13-BC21)</f>
        <v>0</v>
      </c>
      <c r="BC21" s="337">
        <f t="shared" si="21"/>
        <v>0</v>
      </c>
      <c r="BD21" s="337">
        <f>IF(BF20=0,0,PV(BD9/12,MAX(0,BE21),-BD13/12))</f>
        <v>0</v>
      </c>
      <c r="BE21" s="337">
        <f t="shared" si="31"/>
        <v>0</v>
      </c>
      <c r="BF21" s="943">
        <f t="shared" si="32"/>
        <v>0</v>
      </c>
      <c r="BG21" s="944">
        <f t="shared" si="6"/>
        <v>0</v>
      </c>
      <c r="BH21" s="945">
        <f t="shared" si="7"/>
        <v>0</v>
      </c>
      <c r="BI21" s="299"/>
      <c r="BL21" s="301"/>
      <c r="BM21" s="336">
        <f t="shared" si="22"/>
        <v>1903</v>
      </c>
      <c r="BN21" s="337">
        <f t="shared" si="23"/>
        <v>0</v>
      </c>
      <c r="BO21" s="337">
        <f>IF(BN21=0,0,BQ13-BP21)</f>
        <v>0</v>
      </c>
      <c r="BP21" s="337">
        <f t="shared" si="24"/>
        <v>0</v>
      </c>
      <c r="BQ21" s="337">
        <f>IF(BS20=0,0,PV(BQ9/12,MAX(0,BR21),-BQ13/12))</f>
        <v>0</v>
      </c>
      <c r="BR21" s="337">
        <f t="shared" si="33"/>
        <v>0</v>
      </c>
      <c r="BS21" s="943">
        <f t="shared" si="34"/>
        <v>0</v>
      </c>
      <c r="BT21" s="944">
        <f t="shared" si="8"/>
        <v>0</v>
      </c>
      <c r="BU21" s="945">
        <f t="shared" si="9"/>
        <v>0</v>
      </c>
      <c r="BV21" s="299"/>
    </row>
    <row r="22" spans="1:74" s="101" customFormat="1" ht="15.75">
      <c r="A22" s="310">
        <f>A20+1</f>
        <v>90</v>
      </c>
      <c r="B22" s="311" t="s">
        <v>636</v>
      </c>
      <c r="C22" s="1106" t="s">
        <v>1190</v>
      </c>
      <c r="D22" s="1106"/>
      <c r="E22" s="1106"/>
      <c r="F22" s="751">
        <v>0</v>
      </c>
      <c r="G22" s="752" t="s">
        <v>1180</v>
      </c>
      <c r="H22" s="756" t="s">
        <v>1181</v>
      </c>
      <c r="I22" s="756" t="s">
        <v>1181</v>
      </c>
      <c r="J22" s="250"/>
      <c r="K22" s="250"/>
      <c r="L22" s="340"/>
      <c r="N22" s="301"/>
      <c r="O22" s="336">
        <f t="shared" si="10"/>
        <v>1904</v>
      </c>
      <c r="P22" s="337">
        <f t="shared" si="11"/>
        <v>0</v>
      </c>
      <c r="Q22" s="337">
        <f>IF(P22=0,0,T13-R22)</f>
        <v>0</v>
      </c>
      <c r="R22" s="337">
        <f t="shared" si="12"/>
        <v>0</v>
      </c>
      <c r="S22" s="337">
        <f>IF(U21=0,0,PV(T9/12,MAX(0,T22),-T13/12))</f>
        <v>0</v>
      </c>
      <c r="T22" s="337">
        <f t="shared" si="25"/>
        <v>0</v>
      </c>
      <c r="U22" s="943">
        <f t="shared" si="26"/>
        <v>0</v>
      </c>
      <c r="V22" s="944">
        <f t="shared" si="0"/>
        <v>0</v>
      </c>
      <c r="W22" s="945">
        <f t="shared" si="1"/>
        <v>0</v>
      </c>
      <c r="X22" s="299"/>
      <c r="Z22" s="301"/>
      <c r="AA22" s="336">
        <f t="shared" si="13"/>
        <v>1904</v>
      </c>
      <c r="AB22" s="337">
        <f t="shared" si="14"/>
        <v>0</v>
      </c>
      <c r="AC22" s="337">
        <f>IF(AB22=0,0,AE13-AD22)</f>
        <v>0</v>
      </c>
      <c r="AD22" s="337">
        <f t="shared" si="15"/>
        <v>0</v>
      </c>
      <c r="AE22" s="337">
        <f>IF(AG21=0,0,PV(AE9/12,MAX(0,AF22),-AE13/12))</f>
        <v>0</v>
      </c>
      <c r="AF22" s="337">
        <f t="shared" si="27"/>
        <v>0</v>
      </c>
      <c r="AG22" s="943">
        <f t="shared" si="28"/>
        <v>0</v>
      </c>
      <c r="AH22" s="944">
        <f t="shared" si="2"/>
        <v>0</v>
      </c>
      <c r="AI22" s="945">
        <f t="shared" si="3"/>
        <v>0</v>
      </c>
      <c r="AJ22" s="299"/>
      <c r="AL22" s="301"/>
      <c r="AM22" s="336">
        <f t="shared" si="16"/>
        <v>1904</v>
      </c>
      <c r="AN22" s="337">
        <f t="shared" si="17"/>
        <v>0</v>
      </c>
      <c r="AO22" s="337">
        <f>IF(AN22=0,0,AQ13-AP22)</f>
        <v>0</v>
      </c>
      <c r="AP22" s="337">
        <f t="shared" si="18"/>
        <v>0</v>
      </c>
      <c r="AQ22" s="337">
        <f>IF(AS21=0,0,PV(AQ9/12,MAX(0,AR22),-AQ13/12))</f>
        <v>0</v>
      </c>
      <c r="AR22" s="337">
        <f t="shared" si="29"/>
        <v>0</v>
      </c>
      <c r="AS22" s="943">
        <f t="shared" si="30"/>
        <v>0</v>
      </c>
      <c r="AT22" s="944">
        <f t="shared" si="4"/>
        <v>0</v>
      </c>
      <c r="AU22" s="945">
        <f t="shared" si="5"/>
        <v>0</v>
      </c>
      <c r="AV22" s="299"/>
      <c r="AY22" s="301"/>
      <c r="AZ22" s="336">
        <f t="shared" si="19"/>
        <v>1904</v>
      </c>
      <c r="BA22" s="337">
        <f t="shared" si="20"/>
        <v>0</v>
      </c>
      <c r="BB22" s="337">
        <f>IF(BA22=0,0,BD13-BC22)</f>
        <v>0</v>
      </c>
      <c r="BC22" s="337">
        <f t="shared" si="21"/>
        <v>0</v>
      </c>
      <c r="BD22" s="337">
        <f>IF(BF21=0,0,PV(BD9/12,MAX(0,BE22),-BD13/12))</f>
        <v>0</v>
      </c>
      <c r="BE22" s="337">
        <f t="shared" si="31"/>
        <v>0</v>
      </c>
      <c r="BF22" s="943">
        <f t="shared" si="32"/>
        <v>0</v>
      </c>
      <c r="BG22" s="944">
        <f t="shared" si="6"/>
        <v>0</v>
      </c>
      <c r="BH22" s="945">
        <f t="shared" si="7"/>
        <v>0</v>
      </c>
      <c r="BI22" s="299"/>
      <c r="BL22" s="301"/>
      <c r="BM22" s="336">
        <f t="shared" si="22"/>
        <v>1904</v>
      </c>
      <c r="BN22" s="337">
        <f t="shared" si="23"/>
        <v>0</v>
      </c>
      <c r="BO22" s="337">
        <f>IF(BN22=0,0,BQ13-BP22)</f>
        <v>0</v>
      </c>
      <c r="BP22" s="337">
        <f t="shared" si="24"/>
        <v>0</v>
      </c>
      <c r="BQ22" s="337">
        <f>IF(BS21=0,0,PV(BQ9/12,MAX(0,BR22),-BQ13/12))</f>
        <v>0</v>
      </c>
      <c r="BR22" s="337">
        <f t="shared" si="33"/>
        <v>0</v>
      </c>
      <c r="BS22" s="943">
        <f t="shared" si="34"/>
        <v>0</v>
      </c>
      <c r="BT22" s="944">
        <f t="shared" si="8"/>
        <v>0</v>
      </c>
      <c r="BU22" s="945">
        <f t="shared" si="9"/>
        <v>0</v>
      </c>
      <c r="BV22" s="299"/>
    </row>
    <row r="23" spans="1:74" s="101" customFormat="1" ht="15.75">
      <c r="A23" s="310"/>
      <c r="B23" s="311"/>
      <c r="C23" s="404" t="s">
        <v>1182</v>
      </c>
      <c r="D23" s="1294"/>
      <c r="E23" s="1295"/>
      <c r="F23" s="342"/>
      <c r="G23" s="343"/>
      <c r="H23" s="311"/>
      <c r="I23" s="311"/>
      <c r="J23" s="250"/>
      <c r="K23" s="250"/>
      <c r="L23" s="340"/>
      <c r="N23" s="301"/>
      <c r="O23" s="336">
        <f t="shared" si="10"/>
        <v>1905</v>
      </c>
      <c r="P23" s="337">
        <f t="shared" si="11"/>
        <v>0</v>
      </c>
      <c r="Q23" s="337">
        <f>IF(P23=0,0,T13-R23)</f>
        <v>0</v>
      </c>
      <c r="R23" s="337">
        <f t="shared" si="12"/>
        <v>0</v>
      </c>
      <c r="S23" s="337">
        <f>IF(U22=0,0,PV(T9/12,MAX(0,T23),-T13/12))</f>
        <v>0</v>
      </c>
      <c r="T23" s="337">
        <f t="shared" si="25"/>
        <v>0</v>
      </c>
      <c r="U23" s="943">
        <f t="shared" si="26"/>
        <v>0</v>
      </c>
      <c r="V23" s="944">
        <f t="shared" si="0"/>
        <v>0</v>
      </c>
      <c r="W23" s="945">
        <f t="shared" si="1"/>
        <v>0</v>
      </c>
      <c r="X23" s="299"/>
      <c r="Z23" s="301"/>
      <c r="AA23" s="336">
        <f t="shared" si="13"/>
        <v>1905</v>
      </c>
      <c r="AB23" s="337">
        <f t="shared" si="14"/>
        <v>0</v>
      </c>
      <c r="AC23" s="337">
        <f>IF(AB23=0,0,AE13-AD23)</f>
        <v>0</v>
      </c>
      <c r="AD23" s="337">
        <f t="shared" si="15"/>
        <v>0</v>
      </c>
      <c r="AE23" s="337">
        <f>IF(AG22=0,0,PV(AE9/12,MAX(0,AF23),-AE13/12))</f>
        <v>0</v>
      </c>
      <c r="AF23" s="337">
        <f t="shared" si="27"/>
        <v>0</v>
      </c>
      <c r="AG23" s="943">
        <f t="shared" si="28"/>
        <v>0</v>
      </c>
      <c r="AH23" s="944">
        <f t="shared" si="2"/>
        <v>0</v>
      </c>
      <c r="AI23" s="945">
        <f t="shared" si="3"/>
        <v>0</v>
      </c>
      <c r="AJ23" s="299"/>
      <c r="AL23" s="301"/>
      <c r="AM23" s="336">
        <f t="shared" si="16"/>
        <v>1905</v>
      </c>
      <c r="AN23" s="337">
        <f t="shared" si="17"/>
        <v>0</v>
      </c>
      <c r="AO23" s="337">
        <f>IF(AN23=0,0,AQ13-AP23)</f>
        <v>0</v>
      </c>
      <c r="AP23" s="337">
        <f t="shared" si="18"/>
        <v>0</v>
      </c>
      <c r="AQ23" s="337">
        <f>IF(AS22=0,0,PV(AQ9/12,MAX(0,AR23),-AQ13/12))</f>
        <v>0</v>
      </c>
      <c r="AR23" s="337">
        <f t="shared" si="29"/>
        <v>0</v>
      </c>
      <c r="AS23" s="943">
        <f t="shared" si="30"/>
        <v>0</v>
      </c>
      <c r="AT23" s="944">
        <f t="shared" si="4"/>
        <v>0</v>
      </c>
      <c r="AU23" s="945">
        <f t="shared" si="5"/>
        <v>0</v>
      </c>
      <c r="AV23" s="299"/>
      <c r="AY23" s="301"/>
      <c r="AZ23" s="336">
        <f t="shared" si="19"/>
        <v>1905</v>
      </c>
      <c r="BA23" s="337">
        <f t="shared" si="20"/>
        <v>0</v>
      </c>
      <c r="BB23" s="337">
        <f>IF(BA23=0,0,BD13-BC23)</f>
        <v>0</v>
      </c>
      <c r="BC23" s="337">
        <f t="shared" si="21"/>
        <v>0</v>
      </c>
      <c r="BD23" s="337">
        <f>IF(BF22=0,0,PV(BD9/12,MAX(0,BE23),-BD13/12))</f>
        <v>0</v>
      </c>
      <c r="BE23" s="337">
        <f t="shared" si="31"/>
        <v>0</v>
      </c>
      <c r="BF23" s="943">
        <f t="shared" si="32"/>
        <v>0</v>
      </c>
      <c r="BG23" s="944">
        <f t="shared" si="6"/>
        <v>0</v>
      </c>
      <c r="BH23" s="945">
        <f t="shared" si="7"/>
        <v>0</v>
      </c>
      <c r="BI23" s="299"/>
      <c r="BL23" s="301"/>
      <c r="BM23" s="336">
        <f t="shared" si="22"/>
        <v>1905</v>
      </c>
      <c r="BN23" s="337">
        <f t="shared" si="23"/>
        <v>0</v>
      </c>
      <c r="BO23" s="337">
        <f>IF(BN23=0,0,BQ13-BP23)</f>
        <v>0</v>
      </c>
      <c r="BP23" s="337">
        <f t="shared" si="24"/>
        <v>0</v>
      </c>
      <c r="BQ23" s="337">
        <f>IF(BS22=0,0,PV(BQ9/12,MAX(0,BR23),-BQ13/12))</f>
        <v>0</v>
      </c>
      <c r="BR23" s="337">
        <f t="shared" si="33"/>
        <v>0</v>
      </c>
      <c r="BS23" s="943">
        <f t="shared" si="34"/>
        <v>0</v>
      </c>
      <c r="BT23" s="944">
        <f t="shared" si="8"/>
        <v>0</v>
      </c>
      <c r="BU23" s="945">
        <f t="shared" si="9"/>
        <v>0</v>
      </c>
      <c r="BV23" s="299"/>
    </row>
    <row r="24" spans="1:74" s="101" customFormat="1" ht="15.75">
      <c r="A24" s="310">
        <f>A22+1</f>
        <v>91</v>
      </c>
      <c r="B24" s="311" t="s">
        <v>636</v>
      </c>
      <c r="C24" s="1106" t="s">
        <v>1189</v>
      </c>
      <c r="D24" s="1106"/>
      <c r="E24" s="1106"/>
      <c r="F24" s="751">
        <v>0</v>
      </c>
      <c r="G24" s="752" t="s">
        <v>1180</v>
      </c>
      <c r="H24" s="756" t="s">
        <v>1181</v>
      </c>
      <c r="I24" s="756" t="s">
        <v>1181</v>
      </c>
      <c r="J24" s="250"/>
      <c r="K24" s="250"/>
      <c r="L24" s="344"/>
      <c r="N24" s="301"/>
      <c r="O24" s="336">
        <f t="shared" si="10"/>
        <v>1906</v>
      </c>
      <c r="P24" s="337">
        <f t="shared" si="11"/>
        <v>0</v>
      </c>
      <c r="Q24" s="337">
        <f>IF(P24=0,0,T13-R24)</f>
        <v>0</v>
      </c>
      <c r="R24" s="337">
        <f t="shared" si="12"/>
        <v>0</v>
      </c>
      <c r="S24" s="337">
        <f>IF(U23=0,0,PV(T9/12,MAX(0,T24),-T13/12))</f>
        <v>0</v>
      </c>
      <c r="T24" s="337">
        <f t="shared" si="25"/>
        <v>0</v>
      </c>
      <c r="U24" s="943">
        <f t="shared" si="26"/>
        <v>0</v>
      </c>
      <c r="V24" s="944">
        <f t="shared" si="0"/>
        <v>0</v>
      </c>
      <c r="W24" s="945">
        <f t="shared" si="1"/>
        <v>0</v>
      </c>
      <c r="X24" s="299"/>
      <c r="Z24" s="301"/>
      <c r="AA24" s="336">
        <f t="shared" si="13"/>
        <v>1906</v>
      </c>
      <c r="AB24" s="337">
        <f t="shared" si="14"/>
        <v>0</v>
      </c>
      <c r="AC24" s="337">
        <f>IF(AB24=0,0,AE13-AD24)</f>
        <v>0</v>
      </c>
      <c r="AD24" s="337">
        <f t="shared" si="15"/>
        <v>0</v>
      </c>
      <c r="AE24" s="337">
        <f>IF(AG23=0,0,PV(AE9/12,MAX(0,AF24),-AE13/12))</f>
        <v>0</v>
      </c>
      <c r="AF24" s="337">
        <f t="shared" si="27"/>
        <v>0</v>
      </c>
      <c r="AG24" s="943">
        <f t="shared" si="28"/>
        <v>0</v>
      </c>
      <c r="AH24" s="944">
        <f t="shared" si="2"/>
        <v>0</v>
      </c>
      <c r="AI24" s="945">
        <f t="shared" si="3"/>
        <v>0</v>
      </c>
      <c r="AJ24" s="299"/>
      <c r="AL24" s="301"/>
      <c r="AM24" s="336">
        <f t="shared" si="16"/>
        <v>1906</v>
      </c>
      <c r="AN24" s="337">
        <f t="shared" si="17"/>
        <v>0</v>
      </c>
      <c r="AO24" s="337">
        <f>IF(AN24=0,0,AQ13-AP24)</f>
        <v>0</v>
      </c>
      <c r="AP24" s="337">
        <f t="shared" si="18"/>
        <v>0</v>
      </c>
      <c r="AQ24" s="337">
        <f>IF(AS23=0,0,PV(AQ9/12,MAX(0,AR24),-AQ13/12))</f>
        <v>0</v>
      </c>
      <c r="AR24" s="337">
        <f t="shared" si="29"/>
        <v>0</v>
      </c>
      <c r="AS24" s="943">
        <f t="shared" si="30"/>
        <v>0</v>
      </c>
      <c r="AT24" s="944">
        <f t="shared" si="4"/>
        <v>0</v>
      </c>
      <c r="AU24" s="945">
        <f t="shared" si="5"/>
        <v>0</v>
      </c>
      <c r="AV24" s="299"/>
      <c r="AY24" s="301"/>
      <c r="AZ24" s="336">
        <f t="shared" si="19"/>
        <v>1906</v>
      </c>
      <c r="BA24" s="337">
        <f t="shared" si="20"/>
        <v>0</v>
      </c>
      <c r="BB24" s="337">
        <f>IF(BA24=0,0,BD13-BC24)</f>
        <v>0</v>
      </c>
      <c r="BC24" s="337">
        <f t="shared" si="21"/>
        <v>0</v>
      </c>
      <c r="BD24" s="337">
        <f>IF(BF23=0,0,PV(BD9/12,MAX(0,BE24),-BD13/12))</f>
        <v>0</v>
      </c>
      <c r="BE24" s="337">
        <f t="shared" si="31"/>
        <v>0</v>
      </c>
      <c r="BF24" s="943">
        <f t="shared" si="32"/>
        <v>0</v>
      </c>
      <c r="BG24" s="944">
        <f t="shared" si="6"/>
        <v>0</v>
      </c>
      <c r="BH24" s="945">
        <f t="shared" si="7"/>
        <v>0</v>
      </c>
      <c r="BI24" s="299"/>
      <c r="BL24" s="301"/>
      <c r="BM24" s="336">
        <f t="shared" si="22"/>
        <v>1906</v>
      </c>
      <c r="BN24" s="337">
        <f t="shared" si="23"/>
        <v>0</v>
      </c>
      <c r="BO24" s="337">
        <f>IF(BN24=0,0,BQ13-BP24)</f>
        <v>0</v>
      </c>
      <c r="BP24" s="337">
        <f t="shared" si="24"/>
        <v>0</v>
      </c>
      <c r="BQ24" s="337">
        <f>IF(BS23=0,0,PV(BQ9/12,MAX(0,BR24),-BQ13/12))</f>
        <v>0</v>
      </c>
      <c r="BR24" s="337">
        <f t="shared" si="33"/>
        <v>0</v>
      </c>
      <c r="BS24" s="943">
        <f t="shared" si="34"/>
        <v>0</v>
      </c>
      <c r="BT24" s="944">
        <f t="shared" si="8"/>
        <v>0</v>
      </c>
      <c r="BU24" s="945">
        <f t="shared" si="9"/>
        <v>0</v>
      </c>
      <c r="BV24" s="299"/>
    </row>
    <row r="25" spans="1:74" s="101" customFormat="1" ht="15.75">
      <c r="A25" s="310"/>
      <c r="B25" s="311"/>
      <c r="C25" s="404" t="s">
        <v>1182</v>
      </c>
      <c r="D25" s="1294"/>
      <c r="E25" s="1295"/>
      <c r="F25" s="757"/>
      <c r="G25" s="758"/>
      <c r="H25" s="759"/>
      <c r="I25" s="759"/>
      <c r="J25" s="250"/>
      <c r="K25" s="250"/>
      <c r="L25" s="340"/>
      <c r="N25" s="301"/>
      <c r="O25" s="336">
        <f t="shared" si="10"/>
        <v>1907</v>
      </c>
      <c r="P25" s="337">
        <f t="shared" si="11"/>
        <v>0</v>
      </c>
      <c r="Q25" s="337">
        <f>IF(P25=0,0,T13-R25)</f>
        <v>0</v>
      </c>
      <c r="R25" s="337">
        <f t="shared" si="12"/>
        <v>0</v>
      </c>
      <c r="S25" s="337">
        <f>IF(U24=0,0,PV(T9/12,MAX(0,T25),-T13/12))</f>
        <v>0</v>
      </c>
      <c r="T25" s="337">
        <f t="shared" si="25"/>
        <v>0</v>
      </c>
      <c r="U25" s="943">
        <f t="shared" si="26"/>
        <v>0</v>
      </c>
      <c r="V25" s="944">
        <f t="shared" si="0"/>
        <v>0</v>
      </c>
      <c r="W25" s="945">
        <f t="shared" si="1"/>
        <v>0</v>
      </c>
      <c r="X25" s="299"/>
      <c r="Z25" s="301"/>
      <c r="AA25" s="336">
        <f t="shared" si="13"/>
        <v>1907</v>
      </c>
      <c r="AB25" s="337">
        <f t="shared" si="14"/>
        <v>0</v>
      </c>
      <c r="AC25" s="337">
        <f>IF(AB25=0,0,AE13-AD25)</f>
        <v>0</v>
      </c>
      <c r="AD25" s="337">
        <f t="shared" si="15"/>
        <v>0</v>
      </c>
      <c r="AE25" s="337">
        <f>IF(AG24=0,0,PV(AE9/12,MAX(0,AF25),-AE13/12))</f>
        <v>0</v>
      </c>
      <c r="AF25" s="337">
        <f t="shared" si="27"/>
        <v>0</v>
      </c>
      <c r="AG25" s="943">
        <f t="shared" si="28"/>
        <v>0</v>
      </c>
      <c r="AH25" s="944">
        <f t="shared" si="2"/>
        <v>0</v>
      </c>
      <c r="AI25" s="945">
        <f t="shared" si="3"/>
        <v>0</v>
      </c>
      <c r="AJ25" s="299"/>
      <c r="AL25" s="301"/>
      <c r="AM25" s="336">
        <f t="shared" si="16"/>
        <v>1907</v>
      </c>
      <c r="AN25" s="337">
        <f t="shared" si="17"/>
        <v>0</v>
      </c>
      <c r="AO25" s="337">
        <f>IF(AN25=0,0,AQ13-AP25)</f>
        <v>0</v>
      </c>
      <c r="AP25" s="337">
        <f t="shared" si="18"/>
        <v>0</v>
      </c>
      <c r="AQ25" s="337">
        <f>IF(AS24=0,0,PV(AQ9/12,MAX(0,AR25),-AQ13/12))</f>
        <v>0</v>
      </c>
      <c r="AR25" s="337">
        <f t="shared" si="29"/>
        <v>0</v>
      </c>
      <c r="AS25" s="943">
        <f t="shared" si="30"/>
        <v>0</v>
      </c>
      <c r="AT25" s="944">
        <f t="shared" si="4"/>
        <v>0</v>
      </c>
      <c r="AU25" s="945">
        <f t="shared" si="5"/>
        <v>0</v>
      </c>
      <c r="AV25" s="299"/>
      <c r="AY25" s="301"/>
      <c r="AZ25" s="336">
        <f t="shared" si="19"/>
        <v>1907</v>
      </c>
      <c r="BA25" s="337">
        <f t="shared" si="20"/>
        <v>0</v>
      </c>
      <c r="BB25" s="337">
        <f>IF(BA25=0,0,BD13-BC25)</f>
        <v>0</v>
      </c>
      <c r="BC25" s="337">
        <f t="shared" si="21"/>
        <v>0</v>
      </c>
      <c r="BD25" s="337">
        <f>IF(BF24=0,0,PV(BD9/12,MAX(0,BE25),-BD13/12))</f>
        <v>0</v>
      </c>
      <c r="BE25" s="337">
        <f t="shared" si="31"/>
        <v>0</v>
      </c>
      <c r="BF25" s="943">
        <f t="shared" si="32"/>
        <v>0</v>
      </c>
      <c r="BG25" s="944">
        <f t="shared" si="6"/>
        <v>0</v>
      </c>
      <c r="BH25" s="945">
        <f t="shared" si="7"/>
        <v>0</v>
      </c>
      <c r="BI25" s="299"/>
      <c r="BL25" s="301"/>
      <c r="BM25" s="336">
        <f t="shared" si="22"/>
        <v>1907</v>
      </c>
      <c r="BN25" s="337">
        <f t="shared" si="23"/>
        <v>0</v>
      </c>
      <c r="BO25" s="337">
        <f>IF(BN25=0,0,BQ13-BP25)</f>
        <v>0</v>
      </c>
      <c r="BP25" s="337">
        <f t="shared" si="24"/>
        <v>0</v>
      </c>
      <c r="BQ25" s="337">
        <f>IF(BS24=0,0,PV(BQ9/12,MAX(0,BR25),-BQ13/12))</f>
        <v>0</v>
      </c>
      <c r="BR25" s="337">
        <f t="shared" si="33"/>
        <v>0</v>
      </c>
      <c r="BS25" s="943">
        <f t="shared" si="34"/>
        <v>0</v>
      </c>
      <c r="BT25" s="944">
        <f t="shared" si="8"/>
        <v>0</v>
      </c>
      <c r="BU25" s="945">
        <f t="shared" si="9"/>
        <v>0</v>
      </c>
      <c r="BV25" s="299"/>
    </row>
    <row r="26" spans="1:74" s="101" customFormat="1" ht="15.75">
      <c r="A26" s="310">
        <f>A24+1</f>
        <v>92</v>
      </c>
      <c r="B26" s="311" t="s">
        <v>636</v>
      </c>
      <c r="C26" s="1106" t="s">
        <v>550</v>
      </c>
      <c r="D26" s="1106"/>
      <c r="E26" s="1106"/>
      <c r="F26" s="751">
        <v>0</v>
      </c>
      <c r="G26" s="752" t="s">
        <v>1180</v>
      </c>
      <c r="H26" s="756" t="s">
        <v>1181</v>
      </c>
      <c r="I26" s="756" t="s">
        <v>1181</v>
      </c>
      <c r="J26" s="250"/>
      <c r="K26" s="250"/>
      <c r="L26" s="340"/>
      <c r="N26" s="301"/>
      <c r="O26" s="336">
        <f t="shared" si="10"/>
        <v>1908</v>
      </c>
      <c r="P26" s="337">
        <f t="shared" si="11"/>
        <v>0</v>
      </c>
      <c r="Q26" s="337">
        <f>IF(P26=0,0,T13-R26)</f>
        <v>0</v>
      </c>
      <c r="R26" s="337">
        <f t="shared" si="12"/>
        <v>0</v>
      </c>
      <c r="S26" s="337">
        <f>IF(U25=0,0,PV(T9/12,MAX(0,T26),-T13/12))</f>
        <v>0</v>
      </c>
      <c r="T26" s="337">
        <f t="shared" si="25"/>
        <v>0</v>
      </c>
      <c r="U26" s="943">
        <f t="shared" si="26"/>
        <v>0</v>
      </c>
      <c r="V26" s="944">
        <f t="shared" si="0"/>
        <v>0</v>
      </c>
      <c r="W26" s="945">
        <f t="shared" si="1"/>
        <v>0</v>
      </c>
      <c r="X26" s="299"/>
      <c r="Z26" s="301"/>
      <c r="AA26" s="336">
        <f t="shared" si="13"/>
        <v>1908</v>
      </c>
      <c r="AB26" s="337">
        <f t="shared" si="14"/>
        <v>0</v>
      </c>
      <c r="AC26" s="337">
        <f>IF(AB26=0,0,AE13-AD26)</f>
        <v>0</v>
      </c>
      <c r="AD26" s="337">
        <f t="shared" si="15"/>
        <v>0</v>
      </c>
      <c r="AE26" s="337">
        <f>IF(AG25=0,0,PV(AE9/12,MAX(0,AF26),-AE13/12))</f>
        <v>0</v>
      </c>
      <c r="AF26" s="337">
        <f t="shared" si="27"/>
        <v>0</v>
      </c>
      <c r="AG26" s="943">
        <f t="shared" si="28"/>
        <v>0</v>
      </c>
      <c r="AH26" s="944">
        <f t="shared" si="2"/>
        <v>0</v>
      </c>
      <c r="AI26" s="945">
        <f t="shared" si="3"/>
        <v>0</v>
      </c>
      <c r="AJ26" s="299"/>
      <c r="AL26" s="301"/>
      <c r="AM26" s="336">
        <f t="shared" si="16"/>
        <v>1908</v>
      </c>
      <c r="AN26" s="337">
        <f t="shared" si="17"/>
        <v>0</v>
      </c>
      <c r="AO26" s="337">
        <f>IF(AN26=0,0,AQ13-AP26)</f>
        <v>0</v>
      </c>
      <c r="AP26" s="337">
        <f t="shared" si="18"/>
        <v>0</v>
      </c>
      <c r="AQ26" s="337">
        <f>IF(AS25=0,0,PV(AQ9/12,MAX(0,AR26),-AQ13/12))</f>
        <v>0</v>
      </c>
      <c r="AR26" s="337">
        <f t="shared" si="29"/>
        <v>0</v>
      </c>
      <c r="AS26" s="943">
        <f t="shared" si="30"/>
        <v>0</v>
      </c>
      <c r="AT26" s="944">
        <f t="shared" si="4"/>
        <v>0</v>
      </c>
      <c r="AU26" s="945">
        <f t="shared" si="5"/>
        <v>0</v>
      </c>
      <c r="AV26" s="299"/>
      <c r="AY26" s="301"/>
      <c r="AZ26" s="336">
        <f t="shared" si="19"/>
        <v>1908</v>
      </c>
      <c r="BA26" s="337">
        <f t="shared" si="20"/>
        <v>0</v>
      </c>
      <c r="BB26" s="337">
        <f>IF(BA26=0,0,BD13-BC26)</f>
        <v>0</v>
      </c>
      <c r="BC26" s="337">
        <f t="shared" si="21"/>
        <v>0</v>
      </c>
      <c r="BD26" s="337">
        <f>IF(BF25=0,0,PV(BD9/12,MAX(0,BE26),-BD13/12))</f>
        <v>0</v>
      </c>
      <c r="BE26" s="337">
        <f t="shared" si="31"/>
        <v>0</v>
      </c>
      <c r="BF26" s="943">
        <f t="shared" si="32"/>
        <v>0</v>
      </c>
      <c r="BG26" s="944">
        <f t="shared" si="6"/>
        <v>0</v>
      </c>
      <c r="BH26" s="945">
        <f t="shared" si="7"/>
        <v>0</v>
      </c>
      <c r="BI26" s="299"/>
      <c r="BL26" s="301"/>
      <c r="BM26" s="336">
        <f t="shared" si="22"/>
        <v>1908</v>
      </c>
      <c r="BN26" s="337">
        <f t="shared" si="23"/>
        <v>0</v>
      </c>
      <c r="BO26" s="337">
        <f>IF(BN26=0,0,BQ13-BP26)</f>
        <v>0</v>
      </c>
      <c r="BP26" s="337">
        <f t="shared" si="24"/>
        <v>0</v>
      </c>
      <c r="BQ26" s="337">
        <f>IF(BS25=0,0,PV(BQ9/12,MAX(0,BR26),-BQ13/12))</f>
        <v>0</v>
      </c>
      <c r="BR26" s="337">
        <f t="shared" si="33"/>
        <v>0</v>
      </c>
      <c r="BS26" s="943">
        <f t="shared" si="34"/>
        <v>0</v>
      </c>
      <c r="BT26" s="944">
        <f t="shared" si="8"/>
        <v>0</v>
      </c>
      <c r="BU26" s="945">
        <f t="shared" si="9"/>
        <v>0</v>
      </c>
      <c r="BV26" s="299"/>
    </row>
    <row r="27" spans="1:74" s="101" customFormat="1" ht="15.75">
      <c r="A27" s="310"/>
      <c r="B27" s="311"/>
      <c r="C27" s="404" t="s">
        <v>1182</v>
      </c>
      <c r="D27" s="1294"/>
      <c r="E27" s="1295"/>
      <c r="F27" s="342"/>
      <c r="G27" s="343"/>
      <c r="H27" s="311"/>
      <c r="I27" s="311"/>
      <c r="J27" s="250"/>
      <c r="K27" s="250"/>
      <c r="L27" s="340"/>
      <c r="N27" s="301"/>
      <c r="O27" s="336">
        <f t="shared" si="10"/>
        <v>1909</v>
      </c>
      <c r="P27" s="337">
        <f t="shared" si="11"/>
        <v>0</v>
      </c>
      <c r="Q27" s="337">
        <f>IF(P27=0,0,T13-R27)</f>
        <v>0</v>
      </c>
      <c r="R27" s="337">
        <f t="shared" si="12"/>
        <v>0</v>
      </c>
      <c r="S27" s="337">
        <f>IF(U26=0,0,PV(T9/12,MAX(0,T27),-T13/12))</f>
        <v>0</v>
      </c>
      <c r="T27" s="337">
        <f t="shared" si="25"/>
        <v>0</v>
      </c>
      <c r="U27" s="943">
        <f t="shared" si="26"/>
        <v>0</v>
      </c>
      <c r="V27" s="944">
        <f t="shared" si="0"/>
        <v>0</v>
      </c>
      <c r="W27" s="945">
        <f t="shared" si="1"/>
        <v>0</v>
      </c>
      <c r="X27" s="299"/>
      <c r="Z27" s="301"/>
      <c r="AA27" s="336">
        <f t="shared" si="13"/>
        <v>1909</v>
      </c>
      <c r="AB27" s="337">
        <f t="shared" si="14"/>
        <v>0</v>
      </c>
      <c r="AC27" s="337">
        <f>IF(AB27=0,0,AE13-AD27)</f>
        <v>0</v>
      </c>
      <c r="AD27" s="337">
        <f t="shared" si="15"/>
        <v>0</v>
      </c>
      <c r="AE27" s="337">
        <f>IF(AG26=0,0,PV(AE9/12,MAX(0,AF27),-AE13/12))</f>
        <v>0</v>
      </c>
      <c r="AF27" s="337">
        <f t="shared" si="27"/>
        <v>0</v>
      </c>
      <c r="AG27" s="943">
        <f t="shared" si="28"/>
        <v>0</v>
      </c>
      <c r="AH27" s="944">
        <f t="shared" si="2"/>
        <v>0</v>
      </c>
      <c r="AI27" s="945">
        <f t="shared" si="3"/>
        <v>0</v>
      </c>
      <c r="AJ27" s="299"/>
      <c r="AL27" s="301"/>
      <c r="AM27" s="336">
        <f t="shared" si="16"/>
        <v>1909</v>
      </c>
      <c r="AN27" s="337">
        <f t="shared" si="17"/>
        <v>0</v>
      </c>
      <c r="AO27" s="337">
        <f>IF(AN27=0,0,AQ13-AP27)</f>
        <v>0</v>
      </c>
      <c r="AP27" s="337">
        <f t="shared" si="18"/>
        <v>0</v>
      </c>
      <c r="AQ27" s="337">
        <f>IF(AS26=0,0,PV(AQ9/12,MAX(0,AR27),-AQ13/12))</f>
        <v>0</v>
      </c>
      <c r="AR27" s="337">
        <f t="shared" si="29"/>
        <v>0</v>
      </c>
      <c r="AS27" s="943">
        <f t="shared" si="30"/>
        <v>0</v>
      </c>
      <c r="AT27" s="944">
        <f t="shared" si="4"/>
        <v>0</v>
      </c>
      <c r="AU27" s="945">
        <f t="shared" si="5"/>
        <v>0</v>
      </c>
      <c r="AV27" s="299"/>
      <c r="AY27" s="301"/>
      <c r="AZ27" s="336">
        <f t="shared" si="19"/>
        <v>1909</v>
      </c>
      <c r="BA27" s="337">
        <f t="shared" si="20"/>
        <v>0</v>
      </c>
      <c r="BB27" s="337">
        <f>IF(BA27=0,0,BD13-BC27)</f>
        <v>0</v>
      </c>
      <c r="BC27" s="337">
        <f t="shared" si="21"/>
        <v>0</v>
      </c>
      <c r="BD27" s="337">
        <f>IF(BF26=0,0,PV(BD9/12,MAX(0,BE27),-BD13/12))</f>
        <v>0</v>
      </c>
      <c r="BE27" s="337">
        <f t="shared" si="31"/>
        <v>0</v>
      </c>
      <c r="BF27" s="943">
        <f t="shared" si="32"/>
        <v>0</v>
      </c>
      <c r="BG27" s="944">
        <f t="shared" si="6"/>
        <v>0</v>
      </c>
      <c r="BH27" s="945">
        <f t="shared" si="7"/>
        <v>0</v>
      </c>
      <c r="BI27" s="299"/>
      <c r="BL27" s="301"/>
      <c r="BM27" s="336">
        <f t="shared" si="22"/>
        <v>1909</v>
      </c>
      <c r="BN27" s="337">
        <f t="shared" si="23"/>
        <v>0</v>
      </c>
      <c r="BO27" s="337">
        <f>IF(BN27=0,0,BQ13-BP27)</f>
        <v>0</v>
      </c>
      <c r="BP27" s="337">
        <f t="shared" si="24"/>
        <v>0</v>
      </c>
      <c r="BQ27" s="337">
        <f>IF(BS26=0,0,PV(BQ9/12,MAX(0,BR27),-BQ13/12))</f>
        <v>0</v>
      </c>
      <c r="BR27" s="337">
        <f t="shared" si="33"/>
        <v>0</v>
      </c>
      <c r="BS27" s="943">
        <f t="shared" si="34"/>
        <v>0</v>
      </c>
      <c r="BT27" s="944">
        <f t="shared" si="8"/>
        <v>0</v>
      </c>
      <c r="BU27" s="945">
        <f t="shared" si="9"/>
        <v>0</v>
      </c>
      <c r="BV27" s="299"/>
    </row>
    <row r="28" spans="1:74" s="101" customFormat="1" ht="15.75">
      <c r="A28" s="310">
        <f>A26+1</f>
        <v>93</v>
      </c>
      <c r="B28" s="311" t="s">
        <v>636</v>
      </c>
      <c r="C28" s="1106" t="s">
        <v>1189</v>
      </c>
      <c r="D28" s="1106"/>
      <c r="E28" s="1106"/>
      <c r="F28" s="751">
        <v>0</v>
      </c>
      <c r="G28" s="752" t="s">
        <v>1180</v>
      </c>
      <c r="H28" s="756" t="s">
        <v>1181</v>
      </c>
      <c r="I28" s="756" t="s">
        <v>1181</v>
      </c>
      <c r="J28" s="250"/>
      <c r="K28" s="250"/>
      <c r="L28" s="340"/>
      <c r="N28" s="301"/>
      <c r="O28" s="336">
        <f t="shared" si="10"/>
        <v>1910</v>
      </c>
      <c r="P28" s="337">
        <f t="shared" si="11"/>
        <v>0</v>
      </c>
      <c r="Q28" s="337">
        <f>IF(P28=0,0,T13-R28)</f>
        <v>0</v>
      </c>
      <c r="R28" s="337">
        <f t="shared" si="12"/>
        <v>0</v>
      </c>
      <c r="S28" s="337">
        <f>IF(U27=0,0,PV(T9/12,MAX(0,T28),-T13/12))</f>
        <v>0</v>
      </c>
      <c r="T28" s="337">
        <f t="shared" si="25"/>
        <v>0</v>
      </c>
      <c r="U28" s="943">
        <f t="shared" si="26"/>
        <v>0</v>
      </c>
      <c r="V28" s="944">
        <f t="shared" si="0"/>
        <v>0</v>
      </c>
      <c r="W28" s="945">
        <f t="shared" si="1"/>
        <v>0</v>
      </c>
      <c r="X28" s="299"/>
      <c r="Z28" s="301"/>
      <c r="AA28" s="336">
        <f t="shared" si="13"/>
        <v>1910</v>
      </c>
      <c r="AB28" s="337">
        <f t="shared" si="14"/>
        <v>0</v>
      </c>
      <c r="AC28" s="337">
        <f>IF(AB28=0,0,AE13-AD28)</f>
        <v>0</v>
      </c>
      <c r="AD28" s="337">
        <f t="shared" si="15"/>
        <v>0</v>
      </c>
      <c r="AE28" s="337">
        <f>IF(AG27=0,0,PV(AE9/12,MAX(0,AF28),-AE13/12))</f>
        <v>0</v>
      </c>
      <c r="AF28" s="337">
        <f t="shared" si="27"/>
        <v>0</v>
      </c>
      <c r="AG28" s="943">
        <f t="shared" si="28"/>
        <v>0</v>
      </c>
      <c r="AH28" s="944">
        <f t="shared" si="2"/>
        <v>0</v>
      </c>
      <c r="AI28" s="945">
        <f t="shared" si="3"/>
        <v>0</v>
      </c>
      <c r="AJ28" s="299"/>
      <c r="AL28" s="301"/>
      <c r="AM28" s="336">
        <f t="shared" si="16"/>
        <v>1910</v>
      </c>
      <c r="AN28" s="337">
        <f t="shared" si="17"/>
        <v>0</v>
      </c>
      <c r="AO28" s="337">
        <f>IF(AN28=0,0,AQ13-AP28)</f>
        <v>0</v>
      </c>
      <c r="AP28" s="337">
        <f t="shared" si="18"/>
        <v>0</v>
      </c>
      <c r="AQ28" s="337">
        <f>IF(AS27=0,0,PV(AQ9/12,MAX(0,AR28),-AQ13/12))</f>
        <v>0</v>
      </c>
      <c r="AR28" s="337">
        <f t="shared" si="29"/>
        <v>0</v>
      </c>
      <c r="AS28" s="943">
        <f t="shared" si="30"/>
        <v>0</v>
      </c>
      <c r="AT28" s="944">
        <f t="shared" si="4"/>
        <v>0</v>
      </c>
      <c r="AU28" s="945">
        <f t="shared" si="5"/>
        <v>0</v>
      </c>
      <c r="AV28" s="299"/>
      <c r="AY28" s="301"/>
      <c r="AZ28" s="336">
        <f t="shared" si="19"/>
        <v>1910</v>
      </c>
      <c r="BA28" s="337">
        <f t="shared" si="20"/>
        <v>0</v>
      </c>
      <c r="BB28" s="337">
        <f>IF(BA28=0,0,BD13-BC28)</f>
        <v>0</v>
      </c>
      <c r="BC28" s="337">
        <f t="shared" si="21"/>
        <v>0</v>
      </c>
      <c r="BD28" s="337">
        <f>IF(BF27=0,0,PV(BD9/12,MAX(0,BE28),-BD13/12))</f>
        <v>0</v>
      </c>
      <c r="BE28" s="337">
        <f t="shared" si="31"/>
        <v>0</v>
      </c>
      <c r="BF28" s="943">
        <f t="shared" si="32"/>
        <v>0</v>
      </c>
      <c r="BG28" s="944">
        <f t="shared" si="6"/>
        <v>0</v>
      </c>
      <c r="BH28" s="945">
        <f t="shared" si="7"/>
        <v>0</v>
      </c>
      <c r="BI28" s="299"/>
      <c r="BL28" s="301"/>
      <c r="BM28" s="336">
        <f t="shared" si="22"/>
        <v>1910</v>
      </c>
      <c r="BN28" s="337">
        <f t="shared" si="23"/>
        <v>0</v>
      </c>
      <c r="BO28" s="337">
        <f>IF(BN28=0,0,BQ13-BP28)</f>
        <v>0</v>
      </c>
      <c r="BP28" s="337">
        <f t="shared" si="24"/>
        <v>0</v>
      </c>
      <c r="BQ28" s="337">
        <f>IF(BS27=0,0,PV(BQ9/12,MAX(0,BR28),-BQ13/12))</f>
        <v>0</v>
      </c>
      <c r="BR28" s="337">
        <f t="shared" si="33"/>
        <v>0</v>
      </c>
      <c r="BS28" s="943">
        <f t="shared" si="34"/>
        <v>0</v>
      </c>
      <c r="BT28" s="944">
        <f t="shared" si="8"/>
        <v>0</v>
      </c>
      <c r="BU28" s="945">
        <f t="shared" si="9"/>
        <v>0</v>
      </c>
      <c r="BV28" s="299"/>
    </row>
    <row r="29" spans="1:74" s="101" customFormat="1" ht="15.75">
      <c r="A29" s="310"/>
      <c r="B29" s="311"/>
      <c r="C29" s="404" t="s">
        <v>1182</v>
      </c>
      <c r="D29" s="1294"/>
      <c r="E29" s="1295"/>
      <c r="F29" s="342"/>
      <c r="G29" s="343"/>
      <c r="H29" s="343"/>
      <c r="I29" s="311"/>
      <c r="J29" s="311"/>
      <c r="K29" s="311"/>
      <c r="L29" s="340"/>
      <c r="N29" s="301"/>
      <c r="O29" s="336">
        <f t="shared" si="10"/>
        <v>1911</v>
      </c>
      <c r="P29" s="337">
        <f t="shared" si="11"/>
        <v>0</v>
      </c>
      <c r="Q29" s="337">
        <f>IF(P29=0,0,T13-R29)</f>
        <v>0</v>
      </c>
      <c r="R29" s="337">
        <f t="shared" si="12"/>
        <v>0</v>
      </c>
      <c r="S29" s="337">
        <f>IF(U28=0,0,PV(T9/12,MAX(0,T29),-T13/12))</f>
        <v>0</v>
      </c>
      <c r="T29" s="337">
        <f t="shared" si="25"/>
        <v>0</v>
      </c>
      <c r="U29" s="943">
        <f t="shared" si="26"/>
        <v>0</v>
      </c>
      <c r="V29" s="944">
        <f t="shared" si="0"/>
        <v>0</v>
      </c>
      <c r="W29" s="945">
        <f t="shared" si="1"/>
        <v>0</v>
      </c>
      <c r="X29" s="299"/>
      <c r="Z29" s="301"/>
      <c r="AA29" s="336">
        <f t="shared" si="13"/>
        <v>1911</v>
      </c>
      <c r="AB29" s="337">
        <f t="shared" si="14"/>
        <v>0</v>
      </c>
      <c r="AC29" s="337">
        <f>IF(AB29=0,0,AE13-AD29)</f>
        <v>0</v>
      </c>
      <c r="AD29" s="337">
        <f t="shared" si="15"/>
        <v>0</v>
      </c>
      <c r="AE29" s="337">
        <f>IF(AG28=0,0,PV(AE9/12,MAX(0,AF29),-AE13/12))</f>
        <v>0</v>
      </c>
      <c r="AF29" s="337">
        <f t="shared" si="27"/>
        <v>0</v>
      </c>
      <c r="AG29" s="943">
        <f t="shared" si="28"/>
        <v>0</v>
      </c>
      <c r="AH29" s="944">
        <f t="shared" si="2"/>
        <v>0</v>
      </c>
      <c r="AI29" s="945">
        <f t="shared" si="3"/>
        <v>0</v>
      </c>
      <c r="AJ29" s="299"/>
      <c r="AL29" s="301"/>
      <c r="AM29" s="336">
        <f t="shared" si="16"/>
        <v>1911</v>
      </c>
      <c r="AN29" s="337">
        <f t="shared" si="17"/>
        <v>0</v>
      </c>
      <c r="AO29" s="337">
        <f>IF(AN29=0,0,AQ13-AP29)</f>
        <v>0</v>
      </c>
      <c r="AP29" s="337">
        <f t="shared" si="18"/>
        <v>0</v>
      </c>
      <c r="AQ29" s="337">
        <f>IF(AS28=0,0,PV(AQ9/12,MAX(0,AR29),-AQ13/12))</f>
        <v>0</v>
      </c>
      <c r="AR29" s="337">
        <f t="shared" si="29"/>
        <v>0</v>
      </c>
      <c r="AS29" s="943">
        <f t="shared" si="30"/>
        <v>0</v>
      </c>
      <c r="AT29" s="944">
        <f t="shared" si="4"/>
        <v>0</v>
      </c>
      <c r="AU29" s="945">
        <f t="shared" si="5"/>
        <v>0</v>
      </c>
      <c r="AV29" s="299"/>
      <c r="AY29" s="301"/>
      <c r="AZ29" s="336">
        <f t="shared" si="19"/>
        <v>1911</v>
      </c>
      <c r="BA29" s="337">
        <f t="shared" si="20"/>
        <v>0</v>
      </c>
      <c r="BB29" s="337">
        <f>IF(BA29=0,0,BD13-BC29)</f>
        <v>0</v>
      </c>
      <c r="BC29" s="337">
        <f t="shared" si="21"/>
        <v>0</v>
      </c>
      <c r="BD29" s="337">
        <f>IF(BF28=0,0,PV(BD9/12,MAX(0,BE29),-BD13/12))</f>
        <v>0</v>
      </c>
      <c r="BE29" s="337">
        <f t="shared" si="31"/>
        <v>0</v>
      </c>
      <c r="BF29" s="943">
        <f t="shared" si="32"/>
        <v>0</v>
      </c>
      <c r="BG29" s="944">
        <f t="shared" si="6"/>
        <v>0</v>
      </c>
      <c r="BH29" s="945">
        <f t="shared" si="7"/>
        <v>0</v>
      </c>
      <c r="BI29" s="299"/>
      <c r="BL29" s="301"/>
      <c r="BM29" s="336">
        <f t="shared" si="22"/>
        <v>1911</v>
      </c>
      <c r="BN29" s="337">
        <f t="shared" si="23"/>
        <v>0</v>
      </c>
      <c r="BO29" s="337">
        <f>IF(BN29=0,0,BQ13-BP29)</f>
        <v>0</v>
      </c>
      <c r="BP29" s="337">
        <f t="shared" si="24"/>
        <v>0</v>
      </c>
      <c r="BQ29" s="337">
        <f>IF(BS28=0,0,PV(BQ9/12,MAX(0,BR29),-BQ13/12))</f>
        <v>0</v>
      </c>
      <c r="BR29" s="337">
        <f t="shared" si="33"/>
        <v>0</v>
      </c>
      <c r="BS29" s="943">
        <f t="shared" si="34"/>
        <v>0</v>
      </c>
      <c r="BT29" s="944">
        <f t="shared" si="8"/>
        <v>0</v>
      </c>
      <c r="BU29" s="945">
        <f t="shared" si="9"/>
        <v>0</v>
      </c>
      <c r="BV29" s="299"/>
    </row>
    <row r="30" spans="1:74" s="101" customFormat="1" ht="15.75">
      <c r="A30" s="310">
        <f>A28+1</f>
        <v>94</v>
      </c>
      <c r="B30" s="311" t="s">
        <v>636</v>
      </c>
      <c r="C30" s="1106" t="s">
        <v>1188</v>
      </c>
      <c r="D30" s="1106"/>
      <c r="E30" s="1106"/>
      <c r="F30" s="755">
        <f>F20+F22+F24+F26+F28</f>
        <v>0</v>
      </c>
      <c r="G30" s="343"/>
      <c r="H30" s="343"/>
      <c r="I30" s="311"/>
      <c r="J30" s="222"/>
      <c r="K30" s="222"/>
      <c r="L30" s="340"/>
      <c r="N30" s="301"/>
      <c r="O30" s="336">
        <f t="shared" si="10"/>
        <v>1912</v>
      </c>
      <c r="P30" s="337">
        <f t="shared" si="11"/>
        <v>0</v>
      </c>
      <c r="Q30" s="337">
        <f>IF(P30=0,0,T13-R30)</f>
        <v>0</v>
      </c>
      <c r="R30" s="337">
        <f t="shared" si="12"/>
        <v>0</v>
      </c>
      <c r="S30" s="337">
        <f>IF(U29=0,0,PV(T9/12,MAX(0,T30),-T13/12))</f>
        <v>0</v>
      </c>
      <c r="T30" s="337">
        <f t="shared" si="25"/>
        <v>0</v>
      </c>
      <c r="U30" s="943">
        <f t="shared" si="26"/>
        <v>0</v>
      </c>
      <c r="V30" s="944">
        <f t="shared" si="0"/>
        <v>0</v>
      </c>
      <c r="W30" s="945">
        <f t="shared" si="1"/>
        <v>0</v>
      </c>
      <c r="X30" s="299"/>
      <c r="Z30" s="301"/>
      <c r="AA30" s="336">
        <f t="shared" si="13"/>
        <v>1912</v>
      </c>
      <c r="AB30" s="337">
        <f t="shared" si="14"/>
        <v>0</v>
      </c>
      <c r="AC30" s="337">
        <f>IF(AB30=0,0,AE13-AD30)</f>
        <v>0</v>
      </c>
      <c r="AD30" s="337">
        <f t="shared" si="15"/>
        <v>0</v>
      </c>
      <c r="AE30" s="337">
        <f>IF(AG29=0,0,PV(AE9/12,MAX(0,AF30),-AE13/12))</f>
        <v>0</v>
      </c>
      <c r="AF30" s="337">
        <f t="shared" si="27"/>
        <v>0</v>
      </c>
      <c r="AG30" s="943">
        <f t="shared" si="28"/>
        <v>0</v>
      </c>
      <c r="AH30" s="944">
        <f t="shared" si="2"/>
        <v>0</v>
      </c>
      <c r="AI30" s="945">
        <f t="shared" si="3"/>
        <v>0</v>
      </c>
      <c r="AJ30" s="299"/>
      <c r="AL30" s="301"/>
      <c r="AM30" s="336">
        <f t="shared" si="16"/>
        <v>1912</v>
      </c>
      <c r="AN30" s="337">
        <f t="shared" si="17"/>
        <v>0</v>
      </c>
      <c r="AO30" s="337">
        <f>IF(AN30=0,0,AQ13-AP30)</f>
        <v>0</v>
      </c>
      <c r="AP30" s="337">
        <f t="shared" si="18"/>
        <v>0</v>
      </c>
      <c r="AQ30" s="337">
        <f>IF(AS29=0,0,PV(AQ9/12,MAX(0,AR30),-AQ13/12))</f>
        <v>0</v>
      </c>
      <c r="AR30" s="337">
        <f t="shared" si="29"/>
        <v>0</v>
      </c>
      <c r="AS30" s="943">
        <f t="shared" si="30"/>
        <v>0</v>
      </c>
      <c r="AT30" s="944">
        <f t="shared" si="4"/>
        <v>0</v>
      </c>
      <c r="AU30" s="945">
        <f t="shared" si="5"/>
        <v>0</v>
      </c>
      <c r="AV30" s="299"/>
      <c r="AY30" s="301"/>
      <c r="AZ30" s="336">
        <f t="shared" si="19"/>
        <v>1912</v>
      </c>
      <c r="BA30" s="337">
        <f t="shared" si="20"/>
        <v>0</v>
      </c>
      <c r="BB30" s="337">
        <f>IF(BA30=0,0,BD13-BC30)</f>
        <v>0</v>
      </c>
      <c r="BC30" s="337">
        <f t="shared" si="21"/>
        <v>0</v>
      </c>
      <c r="BD30" s="337">
        <f>IF(BF29=0,0,PV(BD9/12,MAX(0,BE30),-BD13/12))</f>
        <v>0</v>
      </c>
      <c r="BE30" s="337">
        <f t="shared" si="31"/>
        <v>0</v>
      </c>
      <c r="BF30" s="943">
        <f t="shared" si="32"/>
        <v>0</v>
      </c>
      <c r="BG30" s="944">
        <f t="shared" si="6"/>
        <v>0</v>
      </c>
      <c r="BH30" s="945">
        <f t="shared" si="7"/>
        <v>0</v>
      </c>
      <c r="BI30" s="299"/>
      <c r="BL30" s="301"/>
      <c r="BM30" s="336">
        <f t="shared" si="22"/>
        <v>1912</v>
      </c>
      <c r="BN30" s="337">
        <f t="shared" si="23"/>
        <v>0</v>
      </c>
      <c r="BO30" s="337">
        <f>IF(BN30=0,0,BQ13-BP30)</f>
        <v>0</v>
      </c>
      <c r="BP30" s="337">
        <f t="shared" si="24"/>
        <v>0</v>
      </c>
      <c r="BQ30" s="337">
        <f>IF(BS29=0,0,PV(BQ9/12,MAX(0,BR30),-BQ13/12))</f>
        <v>0</v>
      </c>
      <c r="BR30" s="337">
        <f t="shared" si="33"/>
        <v>0</v>
      </c>
      <c r="BS30" s="943">
        <f t="shared" si="34"/>
        <v>0</v>
      </c>
      <c r="BT30" s="944">
        <f t="shared" si="8"/>
        <v>0</v>
      </c>
      <c r="BU30" s="945">
        <f t="shared" si="9"/>
        <v>0</v>
      </c>
      <c r="BV30" s="299"/>
    </row>
    <row r="31" spans="1:74" ht="15.75">
      <c r="A31" s="302"/>
      <c r="B31" s="222"/>
      <c r="C31" s="250"/>
      <c r="D31" s="775"/>
      <c r="E31" s="775"/>
      <c r="F31" s="346"/>
      <c r="G31" s="347"/>
      <c r="H31" s="347"/>
      <c r="I31" s="250"/>
      <c r="J31" s="250"/>
      <c r="K31" s="250"/>
      <c r="L31" s="348"/>
      <c r="N31" s="301"/>
      <c r="O31" s="336">
        <f t="shared" si="10"/>
        <v>1913</v>
      </c>
      <c r="P31" s="337">
        <f t="shared" si="11"/>
        <v>0</v>
      </c>
      <c r="Q31" s="337">
        <f>IF(P31=0,0,T13-R31)</f>
        <v>0</v>
      </c>
      <c r="R31" s="337">
        <f t="shared" si="12"/>
        <v>0</v>
      </c>
      <c r="S31" s="337">
        <f>IF(U30=0,0,PV(T9/12,MAX(0,T31),-T13/12))</f>
        <v>0</v>
      </c>
      <c r="T31" s="337">
        <f t="shared" si="25"/>
        <v>0</v>
      </c>
      <c r="U31" s="943">
        <f t="shared" si="26"/>
        <v>0</v>
      </c>
      <c r="V31" s="944">
        <f t="shared" si="0"/>
        <v>0</v>
      </c>
      <c r="W31" s="945">
        <f t="shared" si="1"/>
        <v>0</v>
      </c>
      <c r="X31" s="299"/>
      <c r="Z31" s="301"/>
      <c r="AA31" s="336">
        <f t="shared" si="13"/>
        <v>1913</v>
      </c>
      <c r="AB31" s="337">
        <f t="shared" si="14"/>
        <v>0</v>
      </c>
      <c r="AC31" s="337">
        <f>IF(AB31=0,0,AE13-AD31)</f>
        <v>0</v>
      </c>
      <c r="AD31" s="337">
        <f t="shared" si="15"/>
        <v>0</v>
      </c>
      <c r="AE31" s="337">
        <f>IF(AG30=0,0,PV(AE9/12,MAX(0,AF31),-AE13/12))</f>
        <v>0</v>
      </c>
      <c r="AF31" s="337">
        <f t="shared" si="27"/>
        <v>0</v>
      </c>
      <c r="AG31" s="943">
        <f t="shared" si="28"/>
        <v>0</v>
      </c>
      <c r="AH31" s="944">
        <f t="shared" si="2"/>
        <v>0</v>
      </c>
      <c r="AI31" s="945">
        <f t="shared" si="3"/>
        <v>0</v>
      </c>
      <c r="AJ31" s="299"/>
      <c r="AL31" s="301"/>
      <c r="AM31" s="336">
        <f t="shared" si="16"/>
        <v>1913</v>
      </c>
      <c r="AN31" s="337">
        <f t="shared" si="17"/>
        <v>0</v>
      </c>
      <c r="AO31" s="337">
        <f>IF(AN31=0,0,AQ13-AP31)</f>
        <v>0</v>
      </c>
      <c r="AP31" s="337">
        <f t="shared" si="18"/>
        <v>0</v>
      </c>
      <c r="AQ31" s="337">
        <f>IF(AS30=0,0,PV(AQ9/12,MAX(0,AR31),-AQ13/12))</f>
        <v>0</v>
      </c>
      <c r="AR31" s="337">
        <f t="shared" si="29"/>
        <v>0</v>
      </c>
      <c r="AS31" s="943">
        <f t="shared" si="30"/>
        <v>0</v>
      </c>
      <c r="AT31" s="944">
        <f t="shared" si="4"/>
        <v>0</v>
      </c>
      <c r="AU31" s="945">
        <f t="shared" si="5"/>
        <v>0</v>
      </c>
      <c r="AV31" s="299"/>
      <c r="AY31" s="301"/>
      <c r="AZ31" s="336">
        <f t="shared" si="19"/>
        <v>1913</v>
      </c>
      <c r="BA31" s="337">
        <f t="shared" si="20"/>
        <v>0</v>
      </c>
      <c r="BB31" s="337">
        <f>IF(BA31=0,0,BD13-BC31)</f>
        <v>0</v>
      </c>
      <c r="BC31" s="337">
        <f t="shared" si="21"/>
        <v>0</v>
      </c>
      <c r="BD31" s="337">
        <f>IF(BF30=0,0,PV(BD9/12,MAX(0,BE31),-BD13/12))</f>
        <v>0</v>
      </c>
      <c r="BE31" s="337">
        <f t="shared" si="31"/>
        <v>0</v>
      </c>
      <c r="BF31" s="943">
        <f t="shared" si="32"/>
        <v>0</v>
      </c>
      <c r="BG31" s="944">
        <f t="shared" si="6"/>
        <v>0</v>
      </c>
      <c r="BH31" s="945">
        <f t="shared" si="7"/>
        <v>0</v>
      </c>
      <c r="BI31" s="299"/>
      <c r="BL31" s="301"/>
      <c r="BM31" s="336">
        <f t="shared" si="22"/>
        <v>1913</v>
      </c>
      <c r="BN31" s="337">
        <f t="shared" si="23"/>
        <v>0</v>
      </c>
      <c r="BO31" s="337">
        <f>IF(BN31=0,0,BQ13-BP31)</f>
        <v>0</v>
      </c>
      <c r="BP31" s="337">
        <f t="shared" si="24"/>
        <v>0</v>
      </c>
      <c r="BQ31" s="337">
        <f>IF(BS30=0,0,PV(BQ9/12,MAX(0,BR31),-BQ13/12))</f>
        <v>0</v>
      </c>
      <c r="BR31" s="337">
        <f t="shared" si="33"/>
        <v>0</v>
      </c>
      <c r="BS31" s="943">
        <f t="shared" si="34"/>
        <v>0</v>
      </c>
      <c r="BT31" s="944">
        <f t="shared" si="8"/>
        <v>0</v>
      </c>
      <c r="BU31" s="945">
        <f t="shared" si="9"/>
        <v>0</v>
      </c>
      <c r="BV31" s="299"/>
    </row>
    <row r="32" spans="1:74" ht="15.75">
      <c r="A32" s="302"/>
      <c r="B32" s="222"/>
      <c r="C32" s="303" t="s">
        <v>1194</v>
      </c>
      <c r="D32" s="405"/>
      <c r="E32" s="405"/>
      <c r="F32" s="338" t="s">
        <v>1154</v>
      </c>
      <c r="G32" s="349" t="s">
        <v>661</v>
      </c>
      <c r="H32" s="349" t="s">
        <v>233</v>
      </c>
      <c r="I32" s="305" t="s">
        <v>1178</v>
      </c>
      <c r="J32" s="305" t="s">
        <v>1179</v>
      </c>
      <c r="K32" s="305" t="s">
        <v>230</v>
      </c>
      <c r="L32" s="335"/>
      <c r="N32" s="301"/>
      <c r="O32" s="336">
        <f t="shared" si="10"/>
        <v>1914</v>
      </c>
      <c r="P32" s="337">
        <f t="shared" si="11"/>
        <v>0</v>
      </c>
      <c r="Q32" s="337">
        <f>IF(P32=0,0,T13-R32)</f>
        <v>0</v>
      </c>
      <c r="R32" s="337">
        <f t="shared" si="12"/>
        <v>0</v>
      </c>
      <c r="S32" s="337">
        <f>IF(U31=0,0,PV(T9/12,MAX(0,T32),-T13/12))</f>
        <v>0</v>
      </c>
      <c r="T32" s="337">
        <f t="shared" si="25"/>
        <v>0</v>
      </c>
      <c r="U32" s="943">
        <f t="shared" si="26"/>
        <v>0</v>
      </c>
      <c r="V32" s="944">
        <f t="shared" si="0"/>
        <v>0</v>
      </c>
      <c r="W32" s="945">
        <f t="shared" si="1"/>
        <v>0</v>
      </c>
      <c r="X32" s="299"/>
      <c r="Z32" s="301"/>
      <c r="AA32" s="336">
        <f t="shared" si="13"/>
        <v>1914</v>
      </c>
      <c r="AB32" s="337">
        <f t="shared" si="14"/>
        <v>0</v>
      </c>
      <c r="AC32" s="337">
        <f>IF(AB32=0,0,AE13-AD32)</f>
        <v>0</v>
      </c>
      <c r="AD32" s="337">
        <f t="shared" si="15"/>
        <v>0</v>
      </c>
      <c r="AE32" s="337">
        <f>IF(AG31=0,0,PV(AE9/12,MAX(0,AF32),-AE13/12))</f>
        <v>0</v>
      </c>
      <c r="AF32" s="337">
        <f t="shared" si="27"/>
        <v>0</v>
      </c>
      <c r="AG32" s="943">
        <f t="shared" si="28"/>
        <v>0</v>
      </c>
      <c r="AH32" s="944">
        <f t="shared" si="2"/>
        <v>0</v>
      </c>
      <c r="AI32" s="945">
        <f t="shared" si="3"/>
        <v>0</v>
      </c>
      <c r="AJ32" s="299"/>
      <c r="AL32" s="301"/>
      <c r="AM32" s="336">
        <f t="shared" si="16"/>
        <v>1914</v>
      </c>
      <c r="AN32" s="337">
        <f t="shared" si="17"/>
        <v>0</v>
      </c>
      <c r="AO32" s="337">
        <f>IF(AN32=0,0,AQ13-AP32)</f>
        <v>0</v>
      </c>
      <c r="AP32" s="337">
        <f t="shared" si="18"/>
        <v>0</v>
      </c>
      <c r="AQ32" s="337">
        <f>IF(AS31=0,0,PV(AQ9/12,MAX(0,AR32),-AQ13/12))</f>
        <v>0</v>
      </c>
      <c r="AR32" s="337">
        <f t="shared" si="29"/>
        <v>0</v>
      </c>
      <c r="AS32" s="943">
        <f t="shared" si="30"/>
        <v>0</v>
      </c>
      <c r="AT32" s="944">
        <f t="shared" si="4"/>
        <v>0</v>
      </c>
      <c r="AU32" s="945">
        <f t="shared" si="5"/>
        <v>0</v>
      </c>
      <c r="AV32" s="299"/>
      <c r="AY32" s="301"/>
      <c r="AZ32" s="336">
        <f t="shared" si="19"/>
        <v>1914</v>
      </c>
      <c r="BA32" s="337">
        <f t="shared" si="20"/>
        <v>0</v>
      </c>
      <c r="BB32" s="337">
        <f>IF(BA32=0,0,BD13-BC32)</f>
        <v>0</v>
      </c>
      <c r="BC32" s="337">
        <f t="shared" si="21"/>
        <v>0</v>
      </c>
      <c r="BD32" s="337">
        <f>IF(BF31=0,0,PV(BD9/12,MAX(0,BE32),-BD13/12))</f>
        <v>0</v>
      </c>
      <c r="BE32" s="337">
        <f t="shared" si="31"/>
        <v>0</v>
      </c>
      <c r="BF32" s="943">
        <f t="shared" si="32"/>
        <v>0</v>
      </c>
      <c r="BG32" s="944">
        <f t="shared" si="6"/>
        <v>0</v>
      </c>
      <c r="BH32" s="945">
        <f t="shared" si="7"/>
        <v>0</v>
      </c>
      <c r="BI32" s="299"/>
      <c r="BL32" s="301"/>
      <c r="BM32" s="336">
        <f t="shared" si="22"/>
        <v>1914</v>
      </c>
      <c r="BN32" s="337">
        <f t="shared" si="23"/>
        <v>0</v>
      </c>
      <c r="BO32" s="337">
        <f>IF(BN32=0,0,BQ13-BP32)</f>
        <v>0</v>
      </c>
      <c r="BP32" s="337">
        <f t="shared" si="24"/>
        <v>0</v>
      </c>
      <c r="BQ32" s="337">
        <f>IF(BS31=0,0,PV(BQ9/12,MAX(0,BR32),-BQ13/12))</f>
        <v>0</v>
      </c>
      <c r="BR32" s="337">
        <f t="shared" si="33"/>
        <v>0</v>
      </c>
      <c r="BS32" s="943">
        <f t="shared" si="34"/>
        <v>0</v>
      </c>
      <c r="BT32" s="944">
        <f t="shared" si="8"/>
        <v>0</v>
      </c>
      <c r="BU32" s="945">
        <f t="shared" si="9"/>
        <v>0</v>
      </c>
      <c r="BV32" s="299"/>
    </row>
    <row r="33" spans="1:74" ht="15.75">
      <c r="A33" s="310">
        <f>A30+1</f>
        <v>95</v>
      </c>
      <c r="B33" s="311" t="s">
        <v>636</v>
      </c>
      <c r="C33" s="777" t="s">
        <v>227</v>
      </c>
      <c r="D33" s="1298" t="s">
        <v>229</v>
      </c>
      <c r="E33" s="1299"/>
      <c r="F33" s="792" t="s">
        <v>791</v>
      </c>
      <c r="G33" s="752" t="s">
        <v>1200</v>
      </c>
      <c r="H33" s="752" t="s">
        <v>1200</v>
      </c>
      <c r="I33" s="1020" t="s">
        <v>1181</v>
      </c>
      <c r="J33" s="1020" t="s">
        <v>1181</v>
      </c>
      <c r="K33" s="878" t="s">
        <v>1200</v>
      </c>
      <c r="L33" s="350"/>
      <c r="N33" s="301"/>
      <c r="O33" s="336">
        <f t="shared" si="10"/>
        <v>1915</v>
      </c>
      <c r="P33" s="337">
        <f t="shared" si="11"/>
        <v>0</v>
      </c>
      <c r="Q33" s="337">
        <f>IF(P33=0,0,T13-R33)</f>
        <v>0</v>
      </c>
      <c r="R33" s="337">
        <f t="shared" si="12"/>
        <v>0</v>
      </c>
      <c r="S33" s="337">
        <f>IF(U32=0,0,PV(T9/12,MAX(0,T33),-T13/12))</f>
        <v>0</v>
      </c>
      <c r="T33" s="337">
        <f t="shared" si="25"/>
        <v>0</v>
      </c>
      <c r="U33" s="943">
        <f t="shared" si="26"/>
        <v>0</v>
      </c>
      <c r="V33" s="944">
        <f t="shared" si="0"/>
        <v>0</v>
      </c>
      <c r="W33" s="945">
        <f t="shared" si="1"/>
        <v>0</v>
      </c>
      <c r="X33" s="299"/>
      <c r="Z33" s="301"/>
      <c r="AA33" s="336">
        <f t="shared" si="13"/>
        <v>1915</v>
      </c>
      <c r="AB33" s="337">
        <f t="shared" si="14"/>
        <v>0</v>
      </c>
      <c r="AC33" s="337">
        <f>IF(AB33=0,0,AE13-AD33)</f>
        <v>0</v>
      </c>
      <c r="AD33" s="337">
        <f t="shared" si="15"/>
        <v>0</v>
      </c>
      <c r="AE33" s="337">
        <f>IF(AG32=0,0,PV(AE9/12,MAX(0,AF33),-AE13/12))</f>
        <v>0</v>
      </c>
      <c r="AF33" s="337">
        <f t="shared" si="27"/>
        <v>0</v>
      </c>
      <c r="AG33" s="943">
        <f t="shared" si="28"/>
        <v>0</v>
      </c>
      <c r="AH33" s="944">
        <f t="shared" si="2"/>
        <v>0</v>
      </c>
      <c r="AI33" s="945">
        <f t="shared" si="3"/>
        <v>0</v>
      </c>
      <c r="AJ33" s="299"/>
      <c r="AL33" s="301"/>
      <c r="AM33" s="336">
        <f t="shared" si="16"/>
        <v>1915</v>
      </c>
      <c r="AN33" s="337">
        <f t="shared" si="17"/>
        <v>0</v>
      </c>
      <c r="AO33" s="337">
        <f>IF(AN33=0,0,AQ13-AP33)</f>
        <v>0</v>
      </c>
      <c r="AP33" s="337">
        <f t="shared" si="18"/>
        <v>0</v>
      </c>
      <c r="AQ33" s="337">
        <f>IF(AS32=0,0,PV(AQ9/12,MAX(0,AR33),-AQ13/12))</f>
        <v>0</v>
      </c>
      <c r="AR33" s="337">
        <f t="shared" si="29"/>
        <v>0</v>
      </c>
      <c r="AS33" s="943">
        <f t="shared" si="30"/>
        <v>0</v>
      </c>
      <c r="AT33" s="944">
        <f t="shared" si="4"/>
        <v>0</v>
      </c>
      <c r="AU33" s="945">
        <f t="shared" si="5"/>
        <v>0</v>
      </c>
      <c r="AV33" s="299"/>
      <c r="AY33" s="301"/>
      <c r="AZ33" s="336">
        <f t="shared" si="19"/>
        <v>1915</v>
      </c>
      <c r="BA33" s="337">
        <f t="shared" si="20"/>
        <v>0</v>
      </c>
      <c r="BB33" s="337">
        <f>IF(BA33=0,0,BD13-BC33)</f>
        <v>0</v>
      </c>
      <c r="BC33" s="337">
        <f t="shared" si="21"/>
        <v>0</v>
      </c>
      <c r="BD33" s="337">
        <f>IF(BF32=0,0,PV(BD9/12,MAX(0,BE33),-BD13/12))</f>
        <v>0</v>
      </c>
      <c r="BE33" s="337">
        <f t="shared" si="31"/>
        <v>0</v>
      </c>
      <c r="BF33" s="943">
        <f t="shared" si="32"/>
        <v>0</v>
      </c>
      <c r="BG33" s="944">
        <f t="shared" si="6"/>
        <v>0</v>
      </c>
      <c r="BH33" s="945">
        <f t="shared" si="7"/>
        <v>0</v>
      </c>
      <c r="BI33" s="299"/>
      <c r="BL33" s="301"/>
      <c r="BM33" s="336">
        <f t="shared" si="22"/>
        <v>1915</v>
      </c>
      <c r="BN33" s="337">
        <f t="shared" si="23"/>
        <v>0</v>
      </c>
      <c r="BO33" s="337">
        <f>IF(BN33=0,0,BQ13-BP33)</f>
        <v>0</v>
      </c>
      <c r="BP33" s="337">
        <f t="shared" si="24"/>
        <v>0</v>
      </c>
      <c r="BQ33" s="337">
        <f>IF(BS32=0,0,PV(BQ9/12,MAX(0,BR33),-BQ13/12))</f>
        <v>0</v>
      </c>
      <c r="BR33" s="337">
        <f t="shared" si="33"/>
        <v>0</v>
      </c>
      <c r="BS33" s="943">
        <f t="shared" si="34"/>
        <v>0</v>
      </c>
      <c r="BT33" s="944">
        <f t="shared" si="8"/>
        <v>0</v>
      </c>
      <c r="BU33" s="945">
        <f t="shared" si="9"/>
        <v>0</v>
      </c>
      <c r="BV33" s="299"/>
    </row>
    <row r="34" spans="1:74" ht="15.75">
      <c r="A34" s="310">
        <f>A33+1</f>
        <v>96</v>
      </c>
      <c r="B34" s="311" t="s">
        <v>636</v>
      </c>
      <c r="C34" s="777" t="s">
        <v>227</v>
      </c>
      <c r="D34" s="1298" t="s">
        <v>228</v>
      </c>
      <c r="E34" s="1299"/>
      <c r="F34" s="751" t="s">
        <v>791</v>
      </c>
      <c r="G34" s="752" t="s">
        <v>1200</v>
      </c>
      <c r="H34" s="752" t="s">
        <v>1200</v>
      </c>
      <c r="I34" s="1020" t="s">
        <v>1181</v>
      </c>
      <c r="J34" s="1020" t="s">
        <v>1181</v>
      </c>
      <c r="K34" s="878" t="s">
        <v>1200</v>
      </c>
      <c r="L34" s="350"/>
      <c r="N34" s="301"/>
      <c r="O34" s="336">
        <f t="shared" si="10"/>
        <v>1916</v>
      </c>
      <c r="P34" s="337">
        <f t="shared" si="11"/>
        <v>0</v>
      </c>
      <c r="Q34" s="337">
        <f>IF(P34=0,0,T13-R34)</f>
        <v>0</v>
      </c>
      <c r="R34" s="337">
        <f t="shared" si="12"/>
        <v>0</v>
      </c>
      <c r="S34" s="337">
        <f>IF(U33=0,0,PV(T9/12,MAX(0,T34),-T13/12))</f>
        <v>0</v>
      </c>
      <c r="T34" s="337">
        <f t="shared" si="25"/>
        <v>0</v>
      </c>
      <c r="U34" s="943">
        <f t="shared" si="26"/>
        <v>0</v>
      </c>
      <c r="V34" s="944">
        <f t="shared" si="0"/>
        <v>0</v>
      </c>
      <c r="W34" s="945">
        <f t="shared" si="1"/>
        <v>0</v>
      </c>
      <c r="X34" s="299"/>
      <c r="Z34" s="301"/>
      <c r="AA34" s="336">
        <f t="shared" si="13"/>
        <v>1916</v>
      </c>
      <c r="AB34" s="337">
        <f t="shared" si="14"/>
        <v>0</v>
      </c>
      <c r="AC34" s="337">
        <f>IF(AB34=0,0,AE13-AD34)</f>
        <v>0</v>
      </c>
      <c r="AD34" s="337">
        <f t="shared" si="15"/>
        <v>0</v>
      </c>
      <c r="AE34" s="337">
        <f>IF(AG33=0,0,PV(AE9/12,MAX(0,AF34),-AE13/12))</f>
        <v>0</v>
      </c>
      <c r="AF34" s="337">
        <f t="shared" si="27"/>
        <v>0</v>
      </c>
      <c r="AG34" s="943">
        <f t="shared" si="28"/>
        <v>0</v>
      </c>
      <c r="AH34" s="944">
        <f t="shared" si="2"/>
        <v>0</v>
      </c>
      <c r="AI34" s="945">
        <f t="shared" si="3"/>
        <v>0</v>
      </c>
      <c r="AJ34" s="299"/>
      <c r="AL34" s="301"/>
      <c r="AM34" s="336">
        <f t="shared" si="16"/>
        <v>1916</v>
      </c>
      <c r="AN34" s="337">
        <f t="shared" si="17"/>
        <v>0</v>
      </c>
      <c r="AO34" s="337">
        <f>IF(AN34=0,0,AQ13-AP34)</f>
        <v>0</v>
      </c>
      <c r="AP34" s="337">
        <f t="shared" si="18"/>
        <v>0</v>
      </c>
      <c r="AQ34" s="337">
        <f>IF(AS33=0,0,PV(AQ9/12,MAX(0,AR34),-AQ13/12))</f>
        <v>0</v>
      </c>
      <c r="AR34" s="337">
        <f t="shared" si="29"/>
        <v>0</v>
      </c>
      <c r="AS34" s="943">
        <f t="shared" si="30"/>
        <v>0</v>
      </c>
      <c r="AT34" s="944">
        <f t="shared" si="4"/>
        <v>0</v>
      </c>
      <c r="AU34" s="945">
        <f t="shared" si="5"/>
        <v>0</v>
      </c>
      <c r="AV34" s="299"/>
      <c r="AY34" s="301"/>
      <c r="AZ34" s="336">
        <f t="shared" si="19"/>
        <v>1916</v>
      </c>
      <c r="BA34" s="337">
        <f t="shared" si="20"/>
        <v>0</v>
      </c>
      <c r="BB34" s="337">
        <f>IF(BA34=0,0,BD13-BC34)</f>
        <v>0</v>
      </c>
      <c r="BC34" s="337">
        <f t="shared" si="21"/>
        <v>0</v>
      </c>
      <c r="BD34" s="337">
        <f>IF(BF33=0,0,PV(BD9/12,MAX(0,BE34),-BD13/12))</f>
        <v>0</v>
      </c>
      <c r="BE34" s="337">
        <f t="shared" si="31"/>
        <v>0</v>
      </c>
      <c r="BF34" s="943">
        <f t="shared" si="32"/>
        <v>0</v>
      </c>
      <c r="BG34" s="944">
        <f t="shared" si="6"/>
        <v>0</v>
      </c>
      <c r="BH34" s="945">
        <f t="shared" si="7"/>
        <v>0</v>
      </c>
      <c r="BI34" s="299"/>
      <c r="BL34" s="301"/>
      <c r="BM34" s="336">
        <f t="shared" si="22"/>
        <v>1916</v>
      </c>
      <c r="BN34" s="337">
        <f t="shared" si="23"/>
        <v>0</v>
      </c>
      <c r="BO34" s="337">
        <f>IF(BN34=0,0,BQ13-BP34)</f>
        <v>0</v>
      </c>
      <c r="BP34" s="337">
        <f t="shared" si="24"/>
        <v>0</v>
      </c>
      <c r="BQ34" s="337">
        <f>IF(BS33=0,0,PV(BQ9/12,MAX(0,BR34),-BQ13/12))</f>
        <v>0</v>
      </c>
      <c r="BR34" s="337">
        <f t="shared" si="33"/>
        <v>0</v>
      </c>
      <c r="BS34" s="943">
        <f t="shared" si="34"/>
        <v>0</v>
      </c>
      <c r="BT34" s="944">
        <f t="shared" si="8"/>
        <v>0</v>
      </c>
      <c r="BU34" s="945">
        <f t="shared" si="9"/>
        <v>0</v>
      </c>
      <c r="BV34" s="299"/>
    </row>
    <row r="35" spans="1:74" ht="15.75">
      <c r="A35" s="310">
        <f>A34+1</f>
        <v>97</v>
      </c>
      <c r="B35" s="311" t="s">
        <v>636</v>
      </c>
      <c r="C35" s="777" t="s">
        <v>641</v>
      </c>
      <c r="D35" s="1106"/>
      <c r="E35" s="1106"/>
      <c r="F35" s="751" t="s">
        <v>791</v>
      </c>
      <c r="G35" s="752" t="s">
        <v>1200</v>
      </c>
      <c r="H35" s="343"/>
      <c r="I35" s="1020" t="s">
        <v>1181</v>
      </c>
      <c r="J35" s="1020" t="s">
        <v>1181</v>
      </c>
      <c r="K35" s="878" t="s">
        <v>1200</v>
      </c>
      <c r="L35" s="350"/>
      <c r="N35" s="301"/>
      <c r="O35" s="336">
        <f t="shared" si="10"/>
        <v>1917</v>
      </c>
      <c r="P35" s="337">
        <f t="shared" si="11"/>
        <v>0</v>
      </c>
      <c r="Q35" s="337">
        <f>IF(P35=0,0,T13-R35)</f>
        <v>0</v>
      </c>
      <c r="R35" s="337">
        <f t="shared" si="12"/>
        <v>0</v>
      </c>
      <c r="S35" s="337">
        <f>IF(U34=0,0,PV(T9/12,MAX(0,T35),-T13/12))</f>
        <v>0</v>
      </c>
      <c r="T35" s="337">
        <f t="shared" si="25"/>
        <v>0</v>
      </c>
      <c r="U35" s="943">
        <f t="shared" si="26"/>
        <v>0</v>
      </c>
      <c r="V35" s="944">
        <f t="shared" si="0"/>
        <v>0</v>
      </c>
      <c r="W35" s="945">
        <f t="shared" si="1"/>
        <v>0</v>
      </c>
      <c r="X35" s="299"/>
      <c r="Z35" s="301"/>
      <c r="AA35" s="336">
        <f t="shared" si="13"/>
        <v>1917</v>
      </c>
      <c r="AB35" s="337">
        <f t="shared" si="14"/>
        <v>0</v>
      </c>
      <c r="AC35" s="337">
        <f>IF(AB35=0,0,AE13-AD35)</f>
        <v>0</v>
      </c>
      <c r="AD35" s="337">
        <f t="shared" si="15"/>
        <v>0</v>
      </c>
      <c r="AE35" s="337">
        <f>IF(AG34=0,0,PV(AE9/12,MAX(0,AF35),-AE13/12))</f>
        <v>0</v>
      </c>
      <c r="AF35" s="337">
        <f t="shared" si="27"/>
        <v>0</v>
      </c>
      <c r="AG35" s="943">
        <f t="shared" si="28"/>
        <v>0</v>
      </c>
      <c r="AH35" s="944">
        <f t="shared" si="2"/>
        <v>0</v>
      </c>
      <c r="AI35" s="945">
        <f t="shared" si="3"/>
        <v>0</v>
      </c>
      <c r="AJ35" s="299"/>
      <c r="AL35" s="301"/>
      <c r="AM35" s="336">
        <f t="shared" si="16"/>
        <v>1917</v>
      </c>
      <c r="AN35" s="337">
        <f t="shared" si="17"/>
        <v>0</v>
      </c>
      <c r="AO35" s="337">
        <f>IF(AN35=0,0,AQ13-AP35)</f>
        <v>0</v>
      </c>
      <c r="AP35" s="337">
        <f t="shared" si="18"/>
        <v>0</v>
      </c>
      <c r="AQ35" s="337">
        <f>IF(AS34=0,0,PV(AQ9/12,MAX(0,AR35),-AQ13/12))</f>
        <v>0</v>
      </c>
      <c r="AR35" s="337">
        <f t="shared" si="29"/>
        <v>0</v>
      </c>
      <c r="AS35" s="943">
        <f t="shared" si="30"/>
        <v>0</v>
      </c>
      <c r="AT35" s="944">
        <f t="shared" si="4"/>
        <v>0</v>
      </c>
      <c r="AU35" s="945">
        <f t="shared" si="5"/>
        <v>0</v>
      </c>
      <c r="AV35" s="299"/>
      <c r="AY35" s="301"/>
      <c r="AZ35" s="336">
        <f t="shared" si="19"/>
        <v>1917</v>
      </c>
      <c r="BA35" s="337">
        <f t="shared" si="20"/>
        <v>0</v>
      </c>
      <c r="BB35" s="337">
        <f>IF(BA35=0,0,BD13-BC35)</f>
        <v>0</v>
      </c>
      <c r="BC35" s="337">
        <f t="shared" si="21"/>
        <v>0</v>
      </c>
      <c r="BD35" s="337">
        <f>IF(BF34=0,0,PV(BD9/12,MAX(0,BE35),-BD13/12))</f>
        <v>0</v>
      </c>
      <c r="BE35" s="337">
        <f t="shared" si="31"/>
        <v>0</v>
      </c>
      <c r="BF35" s="943">
        <f t="shared" si="32"/>
        <v>0</v>
      </c>
      <c r="BG35" s="944">
        <f t="shared" si="6"/>
        <v>0</v>
      </c>
      <c r="BH35" s="945">
        <f t="shared" si="7"/>
        <v>0</v>
      </c>
      <c r="BI35" s="299"/>
      <c r="BL35" s="301"/>
      <c r="BM35" s="336">
        <f t="shared" si="22"/>
        <v>1917</v>
      </c>
      <c r="BN35" s="337">
        <f t="shared" si="23"/>
        <v>0</v>
      </c>
      <c r="BO35" s="337">
        <f>IF(BN35=0,0,BQ13-BP35)</f>
        <v>0</v>
      </c>
      <c r="BP35" s="337">
        <f t="shared" si="24"/>
        <v>0</v>
      </c>
      <c r="BQ35" s="337">
        <f>IF(BS34=0,0,PV(BQ9/12,MAX(0,BR35),-BQ13/12))</f>
        <v>0</v>
      </c>
      <c r="BR35" s="337">
        <f t="shared" si="33"/>
        <v>0</v>
      </c>
      <c r="BS35" s="943">
        <f t="shared" si="34"/>
        <v>0</v>
      </c>
      <c r="BT35" s="944">
        <f t="shared" si="8"/>
        <v>0</v>
      </c>
      <c r="BU35" s="945">
        <f t="shared" si="9"/>
        <v>0</v>
      </c>
      <c r="BV35" s="299"/>
    </row>
    <row r="36" spans="1:74" ht="15.75">
      <c r="A36" s="310">
        <f>A35+1</f>
        <v>98</v>
      </c>
      <c r="B36" s="311" t="s">
        <v>636</v>
      </c>
      <c r="C36" s="777" t="s">
        <v>642</v>
      </c>
      <c r="D36" s="1106"/>
      <c r="E36" s="1106"/>
      <c r="F36" s="751" t="s">
        <v>791</v>
      </c>
      <c r="G36" s="752" t="s">
        <v>1180</v>
      </c>
      <c r="H36" s="343"/>
      <c r="I36" s="1021" t="s">
        <v>1181</v>
      </c>
      <c r="J36" s="1020" t="s">
        <v>1181</v>
      </c>
      <c r="K36" s="878" t="s">
        <v>1200</v>
      </c>
      <c r="L36" s="350"/>
      <c r="N36" s="301"/>
      <c r="O36" s="336">
        <f t="shared" si="10"/>
        <v>1918</v>
      </c>
      <c r="P36" s="337">
        <f t="shared" si="11"/>
        <v>0</v>
      </c>
      <c r="Q36" s="337">
        <f>IF(P36=0,0,T13-R36)</f>
        <v>0</v>
      </c>
      <c r="R36" s="337">
        <f t="shared" si="12"/>
        <v>0</v>
      </c>
      <c r="S36" s="337">
        <f>IF(U35=0,0,PV(T9/12,MAX(0,T36),-T13/12))</f>
        <v>0</v>
      </c>
      <c r="T36" s="337">
        <f t="shared" si="25"/>
        <v>0</v>
      </c>
      <c r="U36" s="943">
        <f t="shared" si="26"/>
        <v>0</v>
      </c>
      <c r="V36" s="944">
        <f t="shared" si="0"/>
        <v>0</v>
      </c>
      <c r="W36" s="945">
        <f t="shared" si="1"/>
        <v>0</v>
      </c>
      <c r="X36" s="299"/>
      <c r="Z36" s="301"/>
      <c r="AA36" s="336">
        <f t="shared" si="13"/>
        <v>1918</v>
      </c>
      <c r="AB36" s="337">
        <f t="shared" si="14"/>
        <v>0</v>
      </c>
      <c r="AC36" s="337">
        <f>IF(AB36=0,0,AE13-AD36)</f>
        <v>0</v>
      </c>
      <c r="AD36" s="337">
        <f t="shared" si="15"/>
        <v>0</v>
      </c>
      <c r="AE36" s="337">
        <f>IF(AG35=0,0,PV(AE9/12,MAX(0,AF36),-AE13/12))</f>
        <v>0</v>
      </c>
      <c r="AF36" s="337">
        <f t="shared" si="27"/>
        <v>0</v>
      </c>
      <c r="AG36" s="943">
        <f t="shared" si="28"/>
        <v>0</v>
      </c>
      <c r="AH36" s="944">
        <f t="shared" si="2"/>
        <v>0</v>
      </c>
      <c r="AI36" s="945">
        <f t="shared" si="3"/>
        <v>0</v>
      </c>
      <c r="AJ36" s="299"/>
      <c r="AL36" s="301"/>
      <c r="AM36" s="336">
        <f t="shared" si="16"/>
        <v>1918</v>
      </c>
      <c r="AN36" s="337">
        <f t="shared" si="17"/>
        <v>0</v>
      </c>
      <c r="AO36" s="337">
        <f>IF(AN36=0,0,AQ13-AP36)</f>
        <v>0</v>
      </c>
      <c r="AP36" s="337">
        <f t="shared" si="18"/>
        <v>0</v>
      </c>
      <c r="AQ36" s="337">
        <f>IF(AS35=0,0,PV(AQ9/12,MAX(0,AR36),-AQ13/12))</f>
        <v>0</v>
      </c>
      <c r="AR36" s="337">
        <f t="shared" si="29"/>
        <v>0</v>
      </c>
      <c r="AS36" s="943">
        <f t="shared" si="30"/>
        <v>0</v>
      </c>
      <c r="AT36" s="944">
        <f t="shared" si="4"/>
        <v>0</v>
      </c>
      <c r="AU36" s="945">
        <f t="shared" si="5"/>
        <v>0</v>
      </c>
      <c r="AV36" s="299"/>
      <c r="AY36" s="301"/>
      <c r="AZ36" s="336">
        <f t="shared" si="19"/>
        <v>1918</v>
      </c>
      <c r="BA36" s="337">
        <f t="shared" si="20"/>
        <v>0</v>
      </c>
      <c r="BB36" s="337">
        <f>IF(BA36=0,0,BD13-BC36)</f>
        <v>0</v>
      </c>
      <c r="BC36" s="337">
        <f t="shared" si="21"/>
        <v>0</v>
      </c>
      <c r="BD36" s="337">
        <f>IF(BF35=0,0,PV(BD9/12,MAX(0,BE36),-BD13/12))</f>
        <v>0</v>
      </c>
      <c r="BE36" s="337">
        <f t="shared" si="31"/>
        <v>0</v>
      </c>
      <c r="BF36" s="943">
        <f t="shared" si="32"/>
        <v>0</v>
      </c>
      <c r="BG36" s="944">
        <f t="shared" si="6"/>
        <v>0</v>
      </c>
      <c r="BH36" s="945">
        <f t="shared" si="7"/>
        <v>0</v>
      </c>
      <c r="BI36" s="299"/>
      <c r="BL36" s="301"/>
      <c r="BM36" s="336">
        <f t="shared" si="22"/>
        <v>1918</v>
      </c>
      <c r="BN36" s="337">
        <f t="shared" si="23"/>
        <v>0</v>
      </c>
      <c r="BO36" s="337">
        <f>IF(BN36=0,0,BQ13-BP36)</f>
        <v>0</v>
      </c>
      <c r="BP36" s="337">
        <f t="shared" si="24"/>
        <v>0</v>
      </c>
      <c r="BQ36" s="337">
        <f>IF(BS35=0,0,PV(BQ9/12,MAX(0,BR36),-BQ13/12))</f>
        <v>0</v>
      </c>
      <c r="BR36" s="337">
        <f t="shared" si="33"/>
        <v>0</v>
      </c>
      <c r="BS36" s="943">
        <f t="shared" si="34"/>
        <v>0</v>
      </c>
      <c r="BT36" s="944">
        <f t="shared" si="8"/>
        <v>0</v>
      </c>
      <c r="BU36" s="945">
        <f t="shared" si="9"/>
        <v>0</v>
      </c>
      <c r="BV36" s="299"/>
    </row>
    <row r="37" spans="1:74" ht="15.75">
      <c r="A37" s="310"/>
      <c r="B37" s="311"/>
      <c r="C37" s="311" t="s">
        <v>1182</v>
      </c>
      <c r="D37" s="1294"/>
      <c r="E37" s="1295"/>
      <c r="F37" s="342"/>
      <c r="G37" s="343"/>
      <c r="H37" s="343"/>
      <c r="I37" s="1022"/>
      <c r="J37" s="1022"/>
      <c r="K37" s="351"/>
      <c r="L37" s="352"/>
      <c r="N37" s="301"/>
      <c r="O37" s="336">
        <f t="shared" si="10"/>
        <v>1919</v>
      </c>
      <c r="P37" s="337">
        <f t="shared" ref="P37:P58" si="35">IF(U36=0,0,S36)</f>
        <v>0</v>
      </c>
      <c r="Q37" s="337">
        <f>IF(P37=0,0,T13-R37)</f>
        <v>0</v>
      </c>
      <c r="R37" s="337">
        <f t="shared" si="12"/>
        <v>0</v>
      </c>
      <c r="S37" s="337">
        <f>IF(U36=0,0,PV(T9/12,MAX(0,T37),-T13/12))</f>
        <v>0</v>
      </c>
      <c r="T37" s="337">
        <f t="shared" si="25"/>
        <v>0</v>
      </c>
      <c r="U37" s="943">
        <f t="shared" si="26"/>
        <v>0</v>
      </c>
      <c r="V37" s="944">
        <f t="shared" si="0"/>
        <v>0</v>
      </c>
      <c r="W37" s="945">
        <f t="shared" si="1"/>
        <v>0</v>
      </c>
      <c r="X37" s="299"/>
      <c r="Z37" s="301"/>
      <c r="AA37" s="336">
        <f t="shared" si="13"/>
        <v>1919</v>
      </c>
      <c r="AB37" s="337">
        <f t="shared" ref="AB37:AB58" si="36">IF(AG36=0,0,AE36)</f>
        <v>0</v>
      </c>
      <c r="AC37" s="337">
        <f>IF(AB37=0,0,AE13-AD37)</f>
        <v>0</v>
      </c>
      <c r="AD37" s="337">
        <f t="shared" si="15"/>
        <v>0</v>
      </c>
      <c r="AE37" s="337">
        <f>IF(AG36=0,0,PV(AE9/12,MAX(0,AF37),-AE13/12))</f>
        <v>0</v>
      </c>
      <c r="AF37" s="337">
        <f t="shared" si="27"/>
        <v>0</v>
      </c>
      <c r="AG37" s="943">
        <f t="shared" si="28"/>
        <v>0</v>
      </c>
      <c r="AH37" s="944">
        <f t="shared" si="2"/>
        <v>0</v>
      </c>
      <c r="AI37" s="945">
        <f t="shared" si="3"/>
        <v>0</v>
      </c>
      <c r="AJ37" s="299"/>
      <c r="AL37" s="301"/>
      <c r="AM37" s="336">
        <f t="shared" si="16"/>
        <v>1919</v>
      </c>
      <c r="AN37" s="337">
        <f t="shared" ref="AN37:AN58" si="37">IF(AS36=0,0,AQ36)</f>
        <v>0</v>
      </c>
      <c r="AO37" s="337">
        <f>IF(AN37=0,0,AQ13-AP37)</f>
        <v>0</v>
      </c>
      <c r="AP37" s="337">
        <f t="shared" si="18"/>
        <v>0</v>
      </c>
      <c r="AQ37" s="337">
        <f>IF(AS36=0,0,PV(AQ9/12,MAX(0,AR37),-AQ13/12))</f>
        <v>0</v>
      </c>
      <c r="AR37" s="337">
        <f t="shared" si="29"/>
        <v>0</v>
      </c>
      <c r="AS37" s="943">
        <f t="shared" si="30"/>
        <v>0</v>
      </c>
      <c r="AT37" s="944">
        <f t="shared" si="4"/>
        <v>0</v>
      </c>
      <c r="AU37" s="945">
        <f t="shared" si="5"/>
        <v>0</v>
      </c>
      <c r="AV37" s="299"/>
      <c r="AY37" s="301"/>
      <c r="AZ37" s="336">
        <f t="shared" si="19"/>
        <v>1919</v>
      </c>
      <c r="BA37" s="337">
        <f t="shared" ref="BA37:BA58" si="38">IF(BF36=0,0,BD36)</f>
        <v>0</v>
      </c>
      <c r="BB37" s="337">
        <f>IF(BA37=0,0,BD13-BC37)</f>
        <v>0</v>
      </c>
      <c r="BC37" s="337">
        <f t="shared" si="21"/>
        <v>0</v>
      </c>
      <c r="BD37" s="337">
        <f>IF(BF36=0,0,PV(BD9/12,MAX(0,BE37),-BD13/12))</f>
        <v>0</v>
      </c>
      <c r="BE37" s="337">
        <f t="shared" si="31"/>
        <v>0</v>
      </c>
      <c r="BF37" s="943">
        <f t="shared" si="32"/>
        <v>0</v>
      </c>
      <c r="BG37" s="944">
        <f t="shared" si="6"/>
        <v>0</v>
      </c>
      <c r="BH37" s="945">
        <f t="shared" si="7"/>
        <v>0</v>
      </c>
      <c r="BI37" s="299"/>
      <c r="BL37" s="301"/>
      <c r="BM37" s="336">
        <f t="shared" si="22"/>
        <v>1919</v>
      </c>
      <c r="BN37" s="337">
        <f t="shared" ref="BN37:BN58" si="39">IF(BS36=0,0,BQ36)</f>
        <v>0</v>
      </c>
      <c r="BO37" s="337">
        <f>IF(BN37=0,0,BQ13-BP37)</f>
        <v>0</v>
      </c>
      <c r="BP37" s="337">
        <f t="shared" si="24"/>
        <v>0</v>
      </c>
      <c r="BQ37" s="337">
        <f>IF(BS36=0,0,PV(BQ9/12,MAX(0,BR37),-BQ13/12))</f>
        <v>0</v>
      </c>
      <c r="BR37" s="337">
        <f t="shared" si="33"/>
        <v>0</v>
      </c>
      <c r="BS37" s="943">
        <f t="shared" si="34"/>
        <v>0</v>
      </c>
      <c r="BT37" s="944">
        <f t="shared" si="8"/>
        <v>0</v>
      </c>
      <c r="BU37" s="945">
        <f t="shared" si="9"/>
        <v>0</v>
      </c>
      <c r="BV37" s="299"/>
    </row>
    <row r="38" spans="1:74" ht="15.75">
      <c r="A38" s="310">
        <f>A36+1</f>
        <v>99</v>
      </c>
      <c r="B38" s="311" t="s">
        <v>636</v>
      </c>
      <c r="C38" s="777" t="s">
        <v>1187</v>
      </c>
      <c r="D38" s="1106"/>
      <c r="E38" s="1106"/>
      <c r="F38" s="751" t="s">
        <v>791</v>
      </c>
      <c r="G38" s="752" t="s">
        <v>1180</v>
      </c>
      <c r="H38" s="343"/>
      <c r="I38" s="1021" t="s">
        <v>1181</v>
      </c>
      <c r="J38" s="1021" t="s">
        <v>1181</v>
      </c>
      <c r="K38" s="878" t="s">
        <v>1200</v>
      </c>
      <c r="L38" s="350"/>
      <c r="N38" s="301"/>
      <c r="O38" s="336">
        <f t="shared" si="10"/>
        <v>1920</v>
      </c>
      <c r="P38" s="337">
        <f t="shared" si="35"/>
        <v>0</v>
      </c>
      <c r="Q38" s="337">
        <f>IF(P38=0,0,T13-R38)</f>
        <v>0</v>
      </c>
      <c r="R38" s="337">
        <f t="shared" si="12"/>
        <v>0</v>
      </c>
      <c r="S38" s="337">
        <f>IF(U37=0,0,PV(T9/12,MAX(0,T38),-T13/12))</f>
        <v>0</v>
      </c>
      <c r="T38" s="337">
        <f t="shared" si="25"/>
        <v>0</v>
      </c>
      <c r="U38" s="943">
        <f t="shared" si="26"/>
        <v>0</v>
      </c>
      <c r="V38" s="944">
        <f t="shared" si="0"/>
        <v>0</v>
      </c>
      <c r="W38" s="945">
        <f t="shared" si="1"/>
        <v>0</v>
      </c>
      <c r="X38" s="299"/>
      <c r="Z38" s="301"/>
      <c r="AA38" s="336">
        <f t="shared" si="13"/>
        <v>1920</v>
      </c>
      <c r="AB38" s="337">
        <f t="shared" si="36"/>
        <v>0</v>
      </c>
      <c r="AC38" s="337">
        <f>IF(AB38=0,0,AE13-AD38)</f>
        <v>0</v>
      </c>
      <c r="AD38" s="337">
        <f t="shared" si="15"/>
        <v>0</v>
      </c>
      <c r="AE38" s="337">
        <f>IF(AG37=0,0,PV(AE9/12,MAX(0,AF38),-AE13/12))</f>
        <v>0</v>
      </c>
      <c r="AF38" s="337">
        <f t="shared" si="27"/>
        <v>0</v>
      </c>
      <c r="AG38" s="943">
        <f t="shared" si="28"/>
        <v>0</v>
      </c>
      <c r="AH38" s="944">
        <f t="shared" si="2"/>
        <v>0</v>
      </c>
      <c r="AI38" s="945">
        <f t="shared" si="3"/>
        <v>0</v>
      </c>
      <c r="AJ38" s="299"/>
      <c r="AL38" s="301"/>
      <c r="AM38" s="336">
        <f t="shared" si="16"/>
        <v>1920</v>
      </c>
      <c r="AN38" s="337">
        <f t="shared" si="37"/>
        <v>0</v>
      </c>
      <c r="AO38" s="337">
        <f>IF(AN38=0,0,AQ13-AP38)</f>
        <v>0</v>
      </c>
      <c r="AP38" s="337">
        <f t="shared" si="18"/>
        <v>0</v>
      </c>
      <c r="AQ38" s="337">
        <f>IF(AS37=0,0,PV(AQ9/12,MAX(0,AR38),-AQ13/12))</f>
        <v>0</v>
      </c>
      <c r="AR38" s="337">
        <f t="shared" si="29"/>
        <v>0</v>
      </c>
      <c r="AS38" s="943">
        <f t="shared" si="30"/>
        <v>0</v>
      </c>
      <c r="AT38" s="944">
        <f t="shared" si="4"/>
        <v>0</v>
      </c>
      <c r="AU38" s="945">
        <f t="shared" si="5"/>
        <v>0</v>
      </c>
      <c r="AV38" s="299"/>
      <c r="AY38" s="301"/>
      <c r="AZ38" s="336">
        <f t="shared" si="19"/>
        <v>1920</v>
      </c>
      <c r="BA38" s="337">
        <f t="shared" si="38"/>
        <v>0</v>
      </c>
      <c r="BB38" s="337">
        <f>IF(BA38=0,0,BD13-BC38)</f>
        <v>0</v>
      </c>
      <c r="BC38" s="337">
        <f t="shared" si="21"/>
        <v>0</v>
      </c>
      <c r="BD38" s="337">
        <f>IF(BF37=0,0,PV(BD9/12,MAX(0,BE38),-BD13/12))</f>
        <v>0</v>
      </c>
      <c r="BE38" s="337">
        <f t="shared" si="31"/>
        <v>0</v>
      </c>
      <c r="BF38" s="943">
        <f t="shared" si="32"/>
        <v>0</v>
      </c>
      <c r="BG38" s="944">
        <f t="shared" si="6"/>
        <v>0</v>
      </c>
      <c r="BH38" s="945">
        <f t="shared" si="7"/>
        <v>0</v>
      </c>
      <c r="BI38" s="299"/>
      <c r="BL38" s="301"/>
      <c r="BM38" s="336">
        <f t="shared" si="22"/>
        <v>1920</v>
      </c>
      <c r="BN38" s="337">
        <f t="shared" si="39"/>
        <v>0</v>
      </c>
      <c r="BO38" s="337">
        <f>IF(BN38=0,0,BQ13-BP38)</f>
        <v>0</v>
      </c>
      <c r="BP38" s="337">
        <f t="shared" si="24"/>
        <v>0</v>
      </c>
      <c r="BQ38" s="337">
        <f>IF(BS37=0,0,PV(BQ9/12,MAX(0,BR38),-BQ13/12))</f>
        <v>0</v>
      </c>
      <c r="BR38" s="337">
        <f t="shared" si="33"/>
        <v>0</v>
      </c>
      <c r="BS38" s="943">
        <f t="shared" si="34"/>
        <v>0</v>
      </c>
      <c r="BT38" s="944">
        <f t="shared" si="8"/>
        <v>0</v>
      </c>
      <c r="BU38" s="945">
        <f t="shared" si="9"/>
        <v>0</v>
      </c>
      <c r="BV38" s="299"/>
    </row>
    <row r="39" spans="1:74" ht="15.75">
      <c r="A39" s="310"/>
      <c r="B39" s="311"/>
      <c r="C39" s="311" t="s">
        <v>1182</v>
      </c>
      <c r="D39" s="1294"/>
      <c r="E39" s="1295"/>
      <c r="F39" s="342"/>
      <c r="G39" s="311"/>
      <c r="H39" s="311"/>
      <c r="I39" s="311"/>
      <c r="J39" s="311"/>
      <c r="K39" s="311"/>
      <c r="L39" s="340"/>
      <c r="N39" s="301"/>
      <c r="O39" s="336">
        <f t="shared" si="10"/>
        <v>1921</v>
      </c>
      <c r="P39" s="337">
        <f t="shared" si="35"/>
        <v>0</v>
      </c>
      <c r="Q39" s="337">
        <f>IF(P39=0,0,T13-R39)</f>
        <v>0</v>
      </c>
      <c r="R39" s="337">
        <f t="shared" si="12"/>
        <v>0</v>
      </c>
      <c r="S39" s="337">
        <f>IF(U38=0,0,PV(T9/12,MAX(0,T39),-T13/12))</f>
        <v>0</v>
      </c>
      <c r="T39" s="337">
        <f t="shared" si="25"/>
        <v>0</v>
      </c>
      <c r="U39" s="943">
        <f t="shared" si="26"/>
        <v>0</v>
      </c>
      <c r="V39" s="944">
        <f t="shared" si="0"/>
        <v>0</v>
      </c>
      <c r="W39" s="945">
        <f t="shared" si="1"/>
        <v>0</v>
      </c>
      <c r="X39" s="299"/>
      <c r="Z39" s="301"/>
      <c r="AA39" s="336">
        <f t="shared" si="13"/>
        <v>1921</v>
      </c>
      <c r="AB39" s="337">
        <f t="shared" si="36"/>
        <v>0</v>
      </c>
      <c r="AC39" s="337">
        <f>IF(AB39=0,0,AE13-AD39)</f>
        <v>0</v>
      </c>
      <c r="AD39" s="337">
        <f t="shared" si="15"/>
        <v>0</v>
      </c>
      <c r="AE39" s="337">
        <f>IF(AG38=0,0,PV(AE9/12,MAX(0,AF39),-AE13/12))</f>
        <v>0</v>
      </c>
      <c r="AF39" s="337">
        <f t="shared" si="27"/>
        <v>0</v>
      </c>
      <c r="AG39" s="943">
        <f t="shared" si="28"/>
        <v>0</v>
      </c>
      <c r="AH39" s="944">
        <f t="shared" si="2"/>
        <v>0</v>
      </c>
      <c r="AI39" s="945">
        <f t="shared" si="3"/>
        <v>0</v>
      </c>
      <c r="AJ39" s="299"/>
      <c r="AL39" s="301"/>
      <c r="AM39" s="336">
        <f t="shared" si="16"/>
        <v>1921</v>
      </c>
      <c r="AN39" s="337">
        <f t="shared" si="37"/>
        <v>0</v>
      </c>
      <c r="AO39" s="337">
        <f>IF(AN39=0,0,AQ13-AP39)</f>
        <v>0</v>
      </c>
      <c r="AP39" s="337">
        <f t="shared" si="18"/>
        <v>0</v>
      </c>
      <c r="AQ39" s="337">
        <f>IF(AS38=0,0,PV(AQ9/12,MAX(0,AR39),-AQ13/12))</f>
        <v>0</v>
      </c>
      <c r="AR39" s="337">
        <f t="shared" si="29"/>
        <v>0</v>
      </c>
      <c r="AS39" s="943">
        <f t="shared" si="30"/>
        <v>0</v>
      </c>
      <c r="AT39" s="944">
        <f t="shared" si="4"/>
        <v>0</v>
      </c>
      <c r="AU39" s="945">
        <f t="shared" si="5"/>
        <v>0</v>
      </c>
      <c r="AV39" s="299"/>
      <c r="AY39" s="301"/>
      <c r="AZ39" s="336">
        <f t="shared" si="19"/>
        <v>1921</v>
      </c>
      <c r="BA39" s="337">
        <f t="shared" si="38"/>
        <v>0</v>
      </c>
      <c r="BB39" s="337">
        <f>IF(BA39=0,0,BD13-BC39)</f>
        <v>0</v>
      </c>
      <c r="BC39" s="337">
        <f t="shared" si="21"/>
        <v>0</v>
      </c>
      <c r="BD39" s="337">
        <f>IF(BF38=0,0,PV(BD9/12,MAX(0,BE39),-BD13/12))</f>
        <v>0</v>
      </c>
      <c r="BE39" s="337">
        <f t="shared" si="31"/>
        <v>0</v>
      </c>
      <c r="BF39" s="943">
        <f t="shared" si="32"/>
        <v>0</v>
      </c>
      <c r="BG39" s="944">
        <f t="shared" si="6"/>
        <v>0</v>
      </c>
      <c r="BH39" s="945">
        <f t="shared" si="7"/>
        <v>0</v>
      </c>
      <c r="BI39" s="299"/>
      <c r="BL39" s="301"/>
      <c r="BM39" s="336">
        <f t="shared" si="22"/>
        <v>1921</v>
      </c>
      <c r="BN39" s="337">
        <f t="shared" si="39"/>
        <v>0</v>
      </c>
      <c r="BO39" s="337">
        <f>IF(BN39=0,0,BQ13-BP39)</f>
        <v>0</v>
      </c>
      <c r="BP39" s="337">
        <f t="shared" si="24"/>
        <v>0</v>
      </c>
      <c r="BQ39" s="337">
        <f>IF(BS38=0,0,PV(BQ9/12,MAX(0,BR39),-BQ13/12))</f>
        <v>0</v>
      </c>
      <c r="BR39" s="337">
        <f t="shared" si="33"/>
        <v>0</v>
      </c>
      <c r="BS39" s="943">
        <f t="shared" si="34"/>
        <v>0</v>
      </c>
      <c r="BT39" s="944">
        <f t="shared" si="8"/>
        <v>0</v>
      </c>
      <c r="BU39" s="945">
        <f t="shared" si="9"/>
        <v>0</v>
      </c>
      <c r="BV39" s="299"/>
    </row>
    <row r="40" spans="1:74" ht="15.75">
      <c r="A40" s="310"/>
      <c r="B40" s="311"/>
      <c r="C40" s="311"/>
      <c r="D40" s="342"/>
      <c r="E40" s="342"/>
      <c r="F40" s="342"/>
      <c r="G40" s="311"/>
      <c r="H40" s="311"/>
      <c r="I40" s="311"/>
      <c r="J40" s="311"/>
      <c r="K40" s="311"/>
      <c r="L40" s="340"/>
      <c r="N40" s="301"/>
      <c r="O40" s="336">
        <f t="shared" ref="O40:O58" si="40">O39+1</f>
        <v>1922</v>
      </c>
      <c r="P40" s="337">
        <f t="shared" si="35"/>
        <v>0</v>
      </c>
      <c r="Q40" s="337">
        <f>IF(P40=0,0,T13-R40)</f>
        <v>0</v>
      </c>
      <c r="R40" s="337">
        <f t="shared" ref="R40:R58" si="41">P40-S40</f>
        <v>0</v>
      </c>
      <c r="S40" s="337">
        <f>IF(U39=0,0,PV(T9/12,MAX(0,T40),-T13/12))</f>
        <v>0</v>
      </c>
      <c r="T40" s="337">
        <f t="shared" ref="T40:T58" si="42">MAX(T39-12,0)</f>
        <v>0</v>
      </c>
      <c r="U40" s="943">
        <f t="shared" ref="U40:U58" si="43">MAX(U39-12,0)</f>
        <v>0</v>
      </c>
      <c r="V40" s="944">
        <f t="shared" si="0"/>
        <v>0</v>
      </c>
      <c r="W40" s="945">
        <f t="shared" si="1"/>
        <v>0</v>
      </c>
      <c r="X40" s="299"/>
      <c r="Z40" s="301"/>
      <c r="AA40" s="336">
        <f t="shared" ref="AA40:AA58" si="44">AA39+1</f>
        <v>1922</v>
      </c>
      <c r="AB40" s="337">
        <f t="shared" si="36"/>
        <v>0</v>
      </c>
      <c r="AC40" s="337">
        <f>IF(AB40=0,0,AE13-AD40)</f>
        <v>0</v>
      </c>
      <c r="AD40" s="337">
        <f t="shared" ref="AD40:AD58" si="45">AB40-AE40</f>
        <v>0</v>
      </c>
      <c r="AE40" s="337">
        <f>IF(AG39=0,0,PV(AE9/12,MAX(0,AF40),-AE13/12))</f>
        <v>0</v>
      </c>
      <c r="AF40" s="337">
        <f t="shared" ref="AF40:AF58" si="46">MAX(AF39-12,0)</f>
        <v>0</v>
      </c>
      <c r="AG40" s="943">
        <f t="shared" ref="AG40:AG58" si="47">MAX(AG39-12,0)</f>
        <v>0</v>
      </c>
      <c r="AH40" s="944">
        <f t="shared" si="2"/>
        <v>0</v>
      </c>
      <c r="AI40" s="945">
        <f t="shared" si="3"/>
        <v>0</v>
      </c>
      <c r="AJ40" s="299"/>
      <c r="AL40" s="301"/>
      <c r="AM40" s="336">
        <f t="shared" ref="AM40:AM58" si="48">AM39+1</f>
        <v>1922</v>
      </c>
      <c r="AN40" s="337">
        <f t="shared" si="37"/>
        <v>0</v>
      </c>
      <c r="AO40" s="337">
        <f>IF(AN40=0,0,AQ13-AP40)</f>
        <v>0</v>
      </c>
      <c r="AP40" s="337">
        <f t="shared" ref="AP40:AP58" si="49">AN40-AQ40</f>
        <v>0</v>
      </c>
      <c r="AQ40" s="337">
        <f>IF(AS39=0,0,PV(AQ9/12,MAX(0,AR40),-AQ13/12))</f>
        <v>0</v>
      </c>
      <c r="AR40" s="337">
        <f t="shared" ref="AR40:AR58" si="50">MAX(AR39-12,0)</f>
        <v>0</v>
      </c>
      <c r="AS40" s="943">
        <f t="shared" ref="AS40:AS58" si="51">MAX(AS39-12,0)</f>
        <v>0</v>
      </c>
      <c r="AT40" s="944">
        <f t="shared" si="4"/>
        <v>0</v>
      </c>
      <c r="AU40" s="945">
        <f t="shared" si="5"/>
        <v>0</v>
      </c>
      <c r="AV40" s="299"/>
      <c r="AY40" s="301"/>
      <c r="AZ40" s="336">
        <f t="shared" ref="AZ40:AZ58" si="52">AZ39+1</f>
        <v>1922</v>
      </c>
      <c r="BA40" s="337">
        <f t="shared" si="38"/>
        <v>0</v>
      </c>
      <c r="BB40" s="337">
        <f>IF(BA40=0,0,BD13-BC40)</f>
        <v>0</v>
      </c>
      <c r="BC40" s="337">
        <f t="shared" ref="BC40:BC58" si="53">BA40-BD40</f>
        <v>0</v>
      </c>
      <c r="BD40" s="337">
        <f>IF(BF39=0,0,PV(BD9/12,MAX(0,BE40),-BD13/12))</f>
        <v>0</v>
      </c>
      <c r="BE40" s="337">
        <f t="shared" ref="BE40:BE58" si="54">MAX(BE39-12,0)</f>
        <v>0</v>
      </c>
      <c r="BF40" s="943">
        <f t="shared" ref="BF40:BF58" si="55">MAX(BF39-12,0)</f>
        <v>0</v>
      </c>
      <c r="BG40" s="944">
        <f t="shared" si="6"/>
        <v>0</v>
      </c>
      <c r="BH40" s="945">
        <f t="shared" si="7"/>
        <v>0</v>
      </c>
      <c r="BI40" s="299"/>
      <c r="BL40" s="301"/>
      <c r="BM40" s="336">
        <f t="shared" ref="BM40:BM58" si="56">BM39+1</f>
        <v>1922</v>
      </c>
      <c r="BN40" s="337">
        <f t="shared" si="39"/>
        <v>0</v>
      </c>
      <c r="BO40" s="337">
        <f>IF(BN40=0,0,BQ13-BP40)</f>
        <v>0</v>
      </c>
      <c r="BP40" s="337">
        <f t="shared" ref="BP40:BP58" si="57">BN40-BQ40</f>
        <v>0</v>
      </c>
      <c r="BQ40" s="337">
        <f>IF(BS39=0,0,PV(BQ9/12,MAX(0,BR40),-BQ13/12))</f>
        <v>0</v>
      </c>
      <c r="BR40" s="337">
        <f t="shared" ref="BR40:BR58" si="58">MAX(BR39-12,0)</f>
        <v>0</v>
      </c>
      <c r="BS40" s="943">
        <f t="shared" ref="BS40:BS58" si="59">MAX(BS39-12,0)</f>
        <v>0</v>
      </c>
      <c r="BT40" s="944">
        <f t="shared" si="8"/>
        <v>0</v>
      </c>
      <c r="BU40" s="945">
        <f t="shared" si="9"/>
        <v>0</v>
      </c>
      <c r="BV40" s="299"/>
    </row>
    <row r="41" spans="1:74" ht="15.75">
      <c r="A41" s="407">
        <f>A38+1</f>
        <v>100</v>
      </c>
      <c r="B41" s="404" t="s">
        <v>636</v>
      </c>
      <c r="C41" s="1085" t="s">
        <v>686</v>
      </c>
      <c r="D41" s="1085"/>
      <c r="E41" s="1085"/>
      <c r="F41" s="1050">
        <f>SUM(F33:F36)+F38</f>
        <v>0</v>
      </c>
      <c r="G41" s="471"/>
      <c r="H41" s="471"/>
      <c r="I41" s="405"/>
      <c r="J41" s="775"/>
      <c r="K41" s="250"/>
      <c r="L41" s="335"/>
      <c r="N41" s="301"/>
      <c r="O41" s="336">
        <f t="shared" si="40"/>
        <v>1923</v>
      </c>
      <c r="P41" s="337">
        <f t="shared" si="35"/>
        <v>0</v>
      </c>
      <c r="Q41" s="337">
        <f>IF(P41=0,0,T13-R41)</f>
        <v>0</v>
      </c>
      <c r="R41" s="337">
        <f t="shared" si="41"/>
        <v>0</v>
      </c>
      <c r="S41" s="337">
        <f>IF(U40=0,0,PV(T9/12,MAX(0,T41),-T13/12))</f>
        <v>0</v>
      </c>
      <c r="T41" s="337">
        <f t="shared" si="42"/>
        <v>0</v>
      </c>
      <c r="U41" s="943">
        <f t="shared" si="43"/>
        <v>0</v>
      </c>
      <c r="V41" s="944">
        <f t="shared" si="0"/>
        <v>0</v>
      </c>
      <c r="W41" s="945">
        <f t="shared" si="1"/>
        <v>0</v>
      </c>
      <c r="X41" s="299"/>
      <c r="Z41" s="301"/>
      <c r="AA41" s="336">
        <f t="shared" si="44"/>
        <v>1923</v>
      </c>
      <c r="AB41" s="337">
        <f t="shared" si="36"/>
        <v>0</v>
      </c>
      <c r="AC41" s="337">
        <f>IF(AB41=0,0,AE13-AD41)</f>
        <v>0</v>
      </c>
      <c r="AD41" s="337">
        <f t="shared" si="45"/>
        <v>0</v>
      </c>
      <c r="AE41" s="337">
        <f>IF(AG40=0,0,PV(AE9/12,MAX(0,AF41),-AE13/12))</f>
        <v>0</v>
      </c>
      <c r="AF41" s="337">
        <f t="shared" si="46"/>
        <v>0</v>
      </c>
      <c r="AG41" s="943">
        <f t="shared" si="47"/>
        <v>0</v>
      </c>
      <c r="AH41" s="944">
        <f t="shared" si="2"/>
        <v>0</v>
      </c>
      <c r="AI41" s="945">
        <f t="shared" si="3"/>
        <v>0</v>
      </c>
      <c r="AJ41" s="299"/>
      <c r="AL41" s="301"/>
      <c r="AM41" s="336">
        <f t="shared" si="48"/>
        <v>1923</v>
      </c>
      <c r="AN41" s="337">
        <f t="shared" si="37"/>
        <v>0</v>
      </c>
      <c r="AO41" s="337">
        <f>IF(AN41=0,0,AQ13-AP41)</f>
        <v>0</v>
      </c>
      <c r="AP41" s="337">
        <f t="shared" si="49"/>
        <v>0</v>
      </c>
      <c r="AQ41" s="337">
        <f>IF(AS40=0,0,PV(AQ9/12,MAX(0,AR41),-AQ13/12))</f>
        <v>0</v>
      </c>
      <c r="AR41" s="337">
        <f t="shared" si="50"/>
        <v>0</v>
      </c>
      <c r="AS41" s="943">
        <f t="shared" si="51"/>
        <v>0</v>
      </c>
      <c r="AT41" s="944">
        <f t="shared" si="4"/>
        <v>0</v>
      </c>
      <c r="AU41" s="945">
        <f t="shared" si="5"/>
        <v>0</v>
      </c>
      <c r="AV41" s="299"/>
      <c r="AY41" s="301"/>
      <c r="AZ41" s="336">
        <f t="shared" si="52"/>
        <v>1923</v>
      </c>
      <c r="BA41" s="337">
        <f t="shared" si="38"/>
        <v>0</v>
      </c>
      <c r="BB41" s="337">
        <f>IF(BA41=0,0,BD13-BC41)</f>
        <v>0</v>
      </c>
      <c r="BC41" s="337">
        <f t="shared" si="53"/>
        <v>0</v>
      </c>
      <c r="BD41" s="337">
        <f>IF(BF40=0,0,PV(BD9/12,MAX(0,BE41),-BD13/12))</f>
        <v>0</v>
      </c>
      <c r="BE41" s="337">
        <f t="shared" si="54"/>
        <v>0</v>
      </c>
      <c r="BF41" s="943">
        <f t="shared" si="55"/>
        <v>0</v>
      </c>
      <c r="BG41" s="944">
        <f t="shared" si="6"/>
        <v>0</v>
      </c>
      <c r="BH41" s="945">
        <f t="shared" si="7"/>
        <v>0</v>
      </c>
      <c r="BI41" s="299"/>
      <c r="BL41" s="301"/>
      <c r="BM41" s="336">
        <f t="shared" si="56"/>
        <v>1923</v>
      </c>
      <c r="BN41" s="337">
        <f t="shared" si="39"/>
        <v>0</v>
      </c>
      <c r="BO41" s="337">
        <f>IF(BN41=0,0,BQ13-BP41)</f>
        <v>0</v>
      </c>
      <c r="BP41" s="337">
        <f t="shared" si="57"/>
        <v>0</v>
      </c>
      <c r="BQ41" s="337">
        <f>IF(BS40=0,0,PV(BQ9/12,MAX(0,BR41),-BQ13/12))</f>
        <v>0</v>
      </c>
      <c r="BR41" s="337">
        <f t="shared" si="58"/>
        <v>0</v>
      </c>
      <c r="BS41" s="943">
        <f t="shared" si="59"/>
        <v>0</v>
      </c>
      <c r="BT41" s="944">
        <f t="shared" si="8"/>
        <v>0</v>
      </c>
      <c r="BU41" s="945">
        <f t="shared" si="9"/>
        <v>0</v>
      </c>
      <c r="BV41" s="299"/>
    </row>
    <row r="42" spans="1:74" ht="15.75">
      <c r="A42" s="407"/>
      <c r="B42" s="404"/>
      <c r="C42" s="775"/>
      <c r="D42" s="775"/>
      <c r="E42" s="775"/>
      <c r="F42" s="1054"/>
      <c r="G42" s="471"/>
      <c r="H42" s="471"/>
      <c r="I42" s="775"/>
      <c r="J42" s="775"/>
      <c r="K42" s="250"/>
      <c r="L42" s="335"/>
      <c r="N42" s="301"/>
      <c r="O42" s="336">
        <f t="shared" si="40"/>
        <v>1924</v>
      </c>
      <c r="P42" s="337">
        <f t="shared" si="35"/>
        <v>0</v>
      </c>
      <c r="Q42" s="337">
        <f>IF(P42=0,0,T13-R42)</f>
        <v>0</v>
      </c>
      <c r="R42" s="337">
        <f t="shared" si="41"/>
        <v>0</v>
      </c>
      <c r="S42" s="337">
        <f>IF(U41=0,0,PV(T9/12,MAX(0,T42),-T13/12))</f>
        <v>0</v>
      </c>
      <c r="T42" s="337">
        <f t="shared" si="42"/>
        <v>0</v>
      </c>
      <c r="U42" s="943">
        <f t="shared" si="43"/>
        <v>0</v>
      </c>
      <c r="V42" s="944">
        <f t="shared" si="0"/>
        <v>0</v>
      </c>
      <c r="W42" s="945">
        <f t="shared" si="1"/>
        <v>0</v>
      </c>
      <c r="X42" s="299"/>
      <c r="Z42" s="301"/>
      <c r="AA42" s="336">
        <f t="shared" si="44"/>
        <v>1924</v>
      </c>
      <c r="AB42" s="337">
        <f t="shared" si="36"/>
        <v>0</v>
      </c>
      <c r="AC42" s="337">
        <f>IF(AB42=0,0,AE13-AD42)</f>
        <v>0</v>
      </c>
      <c r="AD42" s="337">
        <f t="shared" si="45"/>
        <v>0</v>
      </c>
      <c r="AE42" s="337">
        <f>IF(AG41=0,0,PV(AE9/12,MAX(0,AF42),-AE13/12))</f>
        <v>0</v>
      </c>
      <c r="AF42" s="337">
        <f t="shared" si="46"/>
        <v>0</v>
      </c>
      <c r="AG42" s="943">
        <f t="shared" si="47"/>
        <v>0</v>
      </c>
      <c r="AH42" s="944">
        <f t="shared" si="2"/>
        <v>0</v>
      </c>
      <c r="AI42" s="945">
        <f t="shared" si="3"/>
        <v>0</v>
      </c>
      <c r="AJ42" s="299"/>
      <c r="AL42" s="301"/>
      <c r="AM42" s="336">
        <f t="shared" si="48"/>
        <v>1924</v>
      </c>
      <c r="AN42" s="337">
        <f t="shared" si="37"/>
        <v>0</v>
      </c>
      <c r="AO42" s="337">
        <f>IF(AN42=0,0,AQ13-AP42)</f>
        <v>0</v>
      </c>
      <c r="AP42" s="337">
        <f t="shared" si="49"/>
        <v>0</v>
      </c>
      <c r="AQ42" s="337">
        <f>IF(AS41=0,0,PV(AQ9/12,MAX(0,AR42),-AQ13/12))</f>
        <v>0</v>
      </c>
      <c r="AR42" s="337">
        <f t="shared" si="50"/>
        <v>0</v>
      </c>
      <c r="AS42" s="943">
        <f t="shared" si="51"/>
        <v>0</v>
      </c>
      <c r="AT42" s="944">
        <f t="shared" si="4"/>
        <v>0</v>
      </c>
      <c r="AU42" s="945">
        <f t="shared" si="5"/>
        <v>0</v>
      </c>
      <c r="AV42" s="299"/>
      <c r="AY42" s="301"/>
      <c r="AZ42" s="336">
        <f t="shared" si="52"/>
        <v>1924</v>
      </c>
      <c r="BA42" s="337">
        <f t="shared" si="38"/>
        <v>0</v>
      </c>
      <c r="BB42" s="337">
        <f>IF(BA42=0,0,BD13-BC42)</f>
        <v>0</v>
      </c>
      <c r="BC42" s="337">
        <f t="shared" si="53"/>
        <v>0</v>
      </c>
      <c r="BD42" s="337">
        <f>IF(BF41=0,0,PV(BD9/12,MAX(0,BE42),-BD13/12))</f>
        <v>0</v>
      </c>
      <c r="BE42" s="337">
        <f t="shared" si="54"/>
        <v>0</v>
      </c>
      <c r="BF42" s="943">
        <f t="shared" si="55"/>
        <v>0</v>
      </c>
      <c r="BG42" s="944">
        <f t="shared" si="6"/>
        <v>0</v>
      </c>
      <c r="BH42" s="945">
        <f t="shared" si="7"/>
        <v>0</v>
      </c>
      <c r="BI42" s="299"/>
      <c r="BL42" s="301"/>
      <c r="BM42" s="336">
        <f t="shared" si="56"/>
        <v>1924</v>
      </c>
      <c r="BN42" s="337">
        <f t="shared" si="39"/>
        <v>0</v>
      </c>
      <c r="BO42" s="337">
        <f>IF(BN42=0,0,BQ13-BP42)</f>
        <v>0</v>
      </c>
      <c r="BP42" s="337">
        <f t="shared" si="57"/>
        <v>0</v>
      </c>
      <c r="BQ42" s="337">
        <f>IF(BS41=0,0,PV(BQ9/12,MAX(0,BR42),-BQ13/12))</f>
        <v>0</v>
      </c>
      <c r="BR42" s="337">
        <f t="shared" si="58"/>
        <v>0</v>
      </c>
      <c r="BS42" s="943">
        <f t="shared" si="59"/>
        <v>0</v>
      </c>
      <c r="BT42" s="944">
        <f t="shared" si="8"/>
        <v>0</v>
      </c>
      <c r="BU42" s="945">
        <f t="shared" si="9"/>
        <v>0</v>
      </c>
      <c r="BV42" s="299"/>
    </row>
    <row r="43" spans="1:74" ht="15.75">
      <c r="A43" s="407">
        <f>A41+1</f>
        <v>101</v>
      </c>
      <c r="B43" s="404" t="s">
        <v>636</v>
      </c>
      <c r="C43" s="1085" t="s">
        <v>687</v>
      </c>
      <c r="D43" s="1085"/>
      <c r="E43" s="1085"/>
      <c r="F43" s="1050">
        <f>SUM(G8:G11)+F17+F41+F30</f>
        <v>0</v>
      </c>
      <c r="G43" s="405"/>
      <c r="H43" s="405"/>
      <c r="I43" s="405"/>
      <c r="J43" s="775"/>
      <c r="K43" s="250"/>
      <c r="L43" s="306"/>
      <c r="N43" s="301"/>
      <c r="O43" s="336">
        <f t="shared" si="40"/>
        <v>1925</v>
      </c>
      <c r="P43" s="337">
        <f t="shared" si="35"/>
        <v>0</v>
      </c>
      <c r="Q43" s="337">
        <f>IF(P43=0,0,T13-R43)</f>
        <v>0</v>
      </c>
      <c r="R43" s="337">
        <f t="shared" si="41"/>
        <v>0</v>
      </c>
      <c r="S43" s="337">
        <f>IF(U42=0,0,PV(T9/12,MAX(0,T43),-T13/12))</f>
        <v>0</v>
      </c>
      <c r="T43" s="337">
        <f t="shared" si="42"/>
        <v>0</v>
      </c>
      <c r="U43" s="943">
        <f t="shared" si="43"/>
        <v>0</v>
      </c>
      <c r="V43" s="944">
        <f t="shared" si="0"/>
        <v>0</v>
      </c>
      <c r="W43" s="945">
        <f t="shared" si="1"/>
        <v>0</v>
      </c>
      <c r="X43" s="299"/>
      <c r="Z43" s="301"/>
      <c r="AA43" s="336">
        <f t="shared" si="44"/>
        <v>1925</v>
      </c>
      <c r="AB43" s="337">
        <f t="shared" si="36"/>
        <v>0</v>
      </c>
      <c r="AC43" s="337">
        <f>IF(AB43=0,0,AE13-AD43)</f>
        <v>0</v>
      </c>
      <c r="AD43" s="337">
        <f t="shared" si="45"/>
        <v>0</v>
      </c>
      <c r="AE43" s="337">
        <f>IF(AG42=0,0,PV(AE9/12,MAX(0,AF43),-AE13/12))</f>
        <v>0</v>
      </c>
      <c r="AF43" s="337">
        <f t="shared" si="46"/>
        <v>0</v>
      </c>
      <c r="AG43" s="943">
        <f t="shared" si="47"/>
        <v>0</v>
      </c>
      <c r="AH43" s="944">
        <f t="shared" si="2"/>
        <v>0</v>
      </c>
      <c r="AI43" s="945">
        <f t="shared" si="3"/>
        <v>0</v>
      </c>
      <c r="AJ43" s="299"/>
      <c r="AL43" s="301"/>
      <c r="AM43" s="336">
        <f t="shared" si="48"/>
        <v>1925</v>
      </c>
      <c r="AN43" s="337">
        <f t="shared" si="37"/>
        <v>0</v>
      </c>
      <c r="AO43" s="337">
        <f>IF(AN43=0,0,AQ13-AP43)</f>
        <v>0</v>
      </c>
      <c r="AP43" s="337">
        <f t="shared" si="49"/>
        <v>0</v>
      </c>
      <c r="AQ43" s="337">
        <f>IF(AS42=0,0,PV(AQ9/12,MAX(0,AR43),-AQ13/12))</f>
        <v>0</v>
      </c>
      <c r="AR43" s="337">
        <f t="shared" si="50"/>
        <v>0</v>
      </c>
      <c r="AS43" s="943">
        <f t="shared" si="51"/>
        <v>0</v>
      </c>
      <c r="AT43" s="944">
        <f t="shared" si="4"/>
        <v>0</v>
      </c>
      <c r="AU43" s="945">
        <f t="shared" si="5"/>
        <v>0</v>
      </c>
      <c r="AV43" s="299"/>
      <c r="AY43" s="301"/>
      <c r="AZ43" s="336">
        <f t="shared" si="52"/>
        <v>1925</v>
      </c>
      <c r="BA43" s="337">
        <f t="shared" si="38"/>
        <v>0</v>
      </c>
      <c r="BB43" s="337">
        <f>IF(BA43=0,0,BD13-BC43)</f>
        <v>0</v>
      </c>
      <c r="BC43" s="337">
        <f t="shared" si="53"/>
        <v>0</v>
      </c>
      <c r="BD43" s="337">
        <f>IF(BF42=0,0,PV(BD9/12,MAX(0,BE43),-BD13/12))</f>
        <v>0</v>
      </c>
      <c r="BE43" s="337">
        <f t="shared" si="54"/>
        <v>0</v>
      </c>
      <c r="BF43" s="943">
        <f t="shared" si="55"/>
        <v>0</v>
      </c>
      <c r="BG43" s="944">
        <f t="shared" si="6"/>
        <v>0</v>
      </c>
      <c r="BH43" s="945">
        <f t="shared" si="7"/>
        <v>0</v>
      </c>
      <c r="BI43" s="299"/>
      <c r="BL43" s="301"/>
      <c r="BM43" s="336">
        <f t="shared" si="56"/>
        <v>1925</v>
      </c>
      <c r="BN43" s="337">
        <f t="shared" si="39"/>
        <v>0</v>
      </c>
      <c r="BO43" s="337">
        <f>IF(BN43=0,0,BQ13-BP43)</f>
        <v>0</v>
      </c>
      <c r="BP43" s="337">
        <f t="shared" si="57"/>
        <v>0</v>
      </c>
      <c r="BQ43" s="337">
        <f>IF(BS42=0,0,PV(BQ9/12,MAX(0,BR43),-BQ13/12))</f>
        <v>0</v>
      </c>
      <c r="BR43" s="337">
        <f t="shared" si="58"/>
        <v>0</v>
      </c>
      <c r="BS43" s="943">
        <f t="shared" si="59"/>
        <v>0</v>
      </c>
      <c r="BT43" s="944">
        <f t="shared" si="8"/>
        <v>0</v>
      </c>
      <c r="BU43" s="945">
        <f t="shared" si="9"/>
        <v>0</v>
      </c>
      <c r="BV43" s="299"/>
    </row>
    <row r="44" spans="1:74" ht="15.75">
      <c r="A44" s="407"/>
      <c r="B44" s="404"/>
      <c r="C44" s="775"/>
      <c r="D44" s="775"/>
      <c r="E44" s="775"/>
      <c r="F44" s="775"/>
      <c r="G44" s="775"/>
      <c r="H44" s="775"/>
      <c r="I44" s="775"/>
      <c r="J44" s="775"/>
      <c r="K44" s="250"/>
      <c r="L44" s="335"/>
      <c r="N44" s="301"/>
      <c r="O44" s="336">
        <f t="shared" si="40"/>
        <v>1926</v>
      </c>
      <c r="P44" s="337">
        <f t="shared" si="35"/>
        <v>0</v>
      </c>
      <c r="Q44" s="337">
        <f>IF(P44=0,0,T13-R44)</f>
        <v>0</v>
      </c>
      <c r="R44" s="337">
        <f t="shared" si="41"/>
        <v>0</v>
      </c>
      <c r="S44" s="337">
        <f>IF(U43=0,0,PV(T9/12,MAX(0,T44),-T13/12))</f>
        <v>0</v>
      </c>
      <c r="T44" s="337">
        <f t="shared" si="42"/>
        <v>0</v>
      </c>
      <c r="U44" s="943">
        <f t="shared" si="43"/>
        <v>0</v>
      </c>
      <c r="V44" s="944">
        <f t="shared" si="0"/>
        <v>0</v>
      </c>
      <c r="W44" s="945">
        <f t="shared" si="1"/>
        <v>0</v>
      </c>
      <c r="X44" s="299"/>
      <c r="Z44" s="301"/>
      <c r="AA44" s="336">
        <f t="shared" si="44"/>
        <v>1926</v>
      </c>
      <c r="AB44" s="337">
        <f t="shared" si="36"/>
        <v>0</v>
      </c>
      <c r="AC44" s="337">
        <f>IF(AB44=0,0,AE13-AD44)</f>
        <v>0</v>
      </c>
      <c r="AD44" s="337">
        <f t="shared" si="45"/>
        <v>0</v>
      </c>
      <c r="AE44" s="337">
        <f>IF(AG43=0,0,PV(AE9/12,MAX(0,AF44),-AE13/12))</f>
        <v>0</v>
      </c>
      <c r="AF44" s="337">
        <f t="shared" si="46"/>
        <v>0</v>
      </c>
      <c r="AG44" s="943">
        <f t="shared" si="47"/>
        <v>0</v>
      </c>
      <c r="AH44" s="944">
        <f t="shared" si="2"/>
        <v>0</v>
      </c>
      <c r="AI44" s="945">
        <f t="shared" si="3"/>
        <v>0</v>
      </c>
      <c r="AJ44" s="299"/>
      <c r="AL44" s="301"/>
      <c r="AM44" s="336">
        <f t="shared" si="48"/>
        <v>1926</v>
      </c>
      <c r="AN44" s="337">
        <f t="shared" si="37"/>
        <v>0</v>
      </c>
      <c r="AO44" s="337">
        <f>IF(AN44=0,0,AQ13-AP44)</f>
        <v>0</v>
      </c>
      <c r="AP44" s="337">
        <f t="shared" si="49"/>
        <v>0</v>
      </c>
      <c r="AQ44" s="337">
        <f>IF(AS43=0,0,PV(AQ9/12,MAX(0,AR44),-AQ13/12))</f>
        <v>0</v>
      </c>
      <c r="AR44" s="337">
        <f t="shared" si="50"/>
        <v>0</v>
      </c>
      <c r="AS44" s="943">
        <f t="shared" si="51"/>
        <v>0</v>
      </c>
      <c r="AT44" s="944">
        <f t="shared" si="4"/>
        <v>0</v>
      </c>
      <c r="AU44" s="945">
        <f t="shared" si="5"/>
        <v>0</v>
      </c>
      <c r="AV44" s="299"/>
      <c r="AY44" s="301"/>
      <c r="AZ44" s="336">
        <f t="shared" si="52"/>
        <v>1926</v>
      </c>
      <c r="BA44" s="337">
        <f t="shared" si="38"/>
        <v>0</v>
      </c>
      <c r="BB44" s="337">
        <f>IF(BA44=0,0,BD13-BC44)</f>
        <v>0</v>
      </c>
      <c r="BC44" s="337">
        <f t="shared" si="53"/>
        <v>0</v>
      </c>
      <c r="BD44" s="337">
        <f>IF(BF43=0,0,PV(BD9/12,MAX(0,BE44),-BD13/12))</f>
        <v>0</v>
      </c>
      <c r="BE44" s="337">
        <f t="shared" si="54"/>
        <v>0</v>
      </c>
      <c r="BF44" s="943">
        <f t="shared" si="55"/>
        <v>0</v>
      </c>
      <c r="BG44" s="944">
        <f t="shared" si="6"/>
        <v>0</v>
      </c>
      <c r="BH44" s="945">
        <f t="shared" si="7"/>
        <v>0</v>
      </c>
      <c r="BI44" s="299"/>
      <c r="BL44" s="301"/>
      <c r="BM44" s="336">
        <f t="shared" si="56"/>
        <v>1926</v>
      </c>
      <c r="BN44" s="337">
        <f t="shared" si="39"/>
        <v>0</v>
      </c>
      <c r="BO44" s="337">
        <f>IF(BN44=0,0,BQ13-BP44)</f>
        <v>0</v>
      </c>
      <c r="BP44" s="337">
        <f t="shared" si="57"/>
        <v>0</v>
      </c>
      <c r="BQ44" s="337">
        <f>IF(BS43=0,0,PV(BQ9/12,MAX(0,BR44),-BQ13/12))</f>
        <v>0</v>
      </c>
      <c r="BR44" s="337">
        <f t="shared" si="58"/>
        <v>0</v>
      </c>
      <c r="BS44" s="943">
        <f t="shared" si="59"/>
        <v>0</v>
      </c>
      <c r="BT44" s="944">
        <f t="shared" si="8"/>
        <v>0</v>
      </c>
      <c r="BU44" s="945">
        <f t="shared" si="9"/>
        <v>0</v>
      </c>
      <c r="BV44" s="299"/>
    </row>
    <row r="45" spans="1:74" ht="15.75">
      <c r="A45" s="407"/>
      <c r="B45" s="404"/>
      <c r="C45" s="214" t="s">
        <v>1199</v>
      </c>
      <c r="D45" s="405"/>
      <c r="E45" s="405"/>
      <c r="F45" s="1086" t="s">
        <v>1154</v>
      </c>
      <c r="G45" s="471" t="s">
        <v>661</v>
      </c>
      <c r="H45" s="471" t="s">
        <v>1179</v>
      </c>
      <c r="I45" s="775"/>
      <c r="J45" s="775"/>
      <c r="K45" s="250"/>
      <c r="L45" s="306"/>
      <c r="N45" s="301"/>
      <c r="O45" s="336">
        <f t="shared" si="40"/>
        <v>1927</v>
      </c>
      <c r="P45" s="337">
        <f t="shared" si="35"/>
        <v>0</v>
      </c>
      <c r="Q45" s="337">
        <f>IF(P45=0,0,T13-R45)</f>
        <v>0</v>
      </c>
      <c r="R45" s="337">
        <f t="shared" si="41"/>
        <v>0</v>
      </c>
      <c r="S45" s="337">
        <f>IF(U44=0,0,PV(T9/12,MAX(0,T45),-T13/12))</f>
        <v>0</v>
      </c>
      <c r="T45" s="337">
        <f t="shared" si="42"/>
        <v>0</v>
      </c>
      <c r="U45" s="943">
        <f t="shared" si="43"/>
        <v>0</v>
      </c>
      <c r="V45" s="944">
        <f t="shared" si="0"/>
        <v>0</v>
      </c>
      <c r="W45" s="945">
        <f t="shared" si="1"/>
        <v>0</v>
      </c>
      <c r="X45" s="299"/>
      <c r="Z45" s="301"/>
      <c r="AA45" s="336">
        <f t="shared" si="44"/>
        <v>1927</v>
      </c>
      <c r="AB45" s="337">
        <f t="shared" si="36"/>
        <v>0</v>
      </c>
      <c r="AC45" s="337">
        <f>IF(AB45=0,0,AE13-AD45)</f>
        <v>0</v>
      </c>
      <c r="AD45" s="337">
        <f t="shared" si="45"/>
        <v>0</v>
      </c>
      <c r="AE45" s="337">
        <f>IF(AG44=0,0,PV(AE9/12,MAX(0,AF45),-AE13/12))</f>
        <v>0</v>
      </c>
      <c r="AF45" s="337">
        <f t="shared" si="46"/>
        <v>0</v>
      </c>
      <c r="AG45" s="943">
        <f t="shared" si="47"/>
        <v>0</v>
      </c>
      <c r="AH45" s="944">
        <f t="shared" si="2"/>
        <v>0</v>
      </c>
      <c r="AI45" s="945">
        <f t="shared" si="3"/>
        <v>0</v>
      </c>
      <c r="AJ45" s="299"/>
      <c r="AL45" s="301"/>
      <c r="AM45" s="336">
        <f t="shared" si="48"/>
        <v>1927</v>
      </c>
      <c r="AN45" s="337">
        <f t="shared" si="37"/>
        <v>0</v>
      </c>
      <c r="AO45" s="337">
        <f>IF(AN45=0,0,AQ13-AP45)</f>
        <v>0</v>
      </c>
      <c r="AP45" s="337">
        <f t="shared" si="49"/>
        <v>0</v>
      </c>
      <c r="AQ45" s="337">
        <f>IF(AS44=0,0,PV(AQ9/12,MAX(0,AR45),-AQ13/12))</f>
        <v>0</v>
      </c>
      <c r="AR45" s="337">
        <f t="shared" si="50"/>
        <v>0</v>
      </c>
      <c r="AS45" s="943">
        <f t="shared" si="51"/>
        <v>0</v>
      </c>
      <c r="AT45" s="944">
        <f t="shared" si="4"/>
        <v>0</v>
      </c>
      <c r="AU45" s="945">
        <f t="shared" si="5"/>
        <v>0</v>
      </c>
      <c r="AV45" s="299"/>
      <c r="AY45" s="301"/>
      <c r="AZ45" s="336">
        <f t="shared" si="52"/>
        <v>1927</v>
      </c>
      <c r="BA45" s="337">
        <f t="shared" si="38"/>
        <v>0</v>
      </c>
      <c r="BB45" s="337">
        <f>IF(BA45=0,0,BD13-BC45)</f>
        <v>0</v>
      </c>
      <c r="BC45" s="337">
        <f t="shared" si="53"/>
        <v>0</v>
      </c>
      <c r="BD45" s="337">
        <f>IF(BF44=0,0,PV(BD9/12,MAX(0,BE45),-BD13/12))</f>
        <v>0</v>
      </c>
      <c r="BE45" s="337">
        <f t="shared" si="54"/>
        <v>0</v>
      </c>
      <c r="BF45" s="943">
        <f t="shared" si="55"/>
        <v>0</v>
      </c>
      <c r="BG45" s="944">
        <f t="shared" si="6"/>
        <v>0</v>
      </c>
      <c r="BH45" s="945">
        <f t="shared" si="7"/>
        <v>0</v>
      </c>
      <c r="BI45" s="299"/>
      <c r="BL45" s="301"/>
      <c r="BM45" s="336">
        <f t="shared" si="56"/>
        <v>1927</v>
      </c>
      <c r="BN45" s="337">
        <f t="shared" si="39"/>
        <v>0</v>
      </c>
      <c r="BO45" s="337">
        <f>IF(BN45=0,0,BQ13-BP45)</f>
        <v>0</v>
      </c>
      <c r="BP45" s="337">
        <f t="shared" si="57"/>
        <v>0</v>
      </c>
      <c r="BQ45" s="337">
        <f>IF(BS44=0,0,PV(BQ9/12,MAX(0,BR45),-BQ13/12))</f>
        <v>0</v>
      </c>
      <c r="BR45" s="337">
        <f t="shared" si="58"/>
        <v>0</v>
      </c>
      <c r="BS45" s="943">
        <f t="shared" si="59"/>
        <v>0</v>
      </c>
      <c r="BT45" s="944">
        <f t="shared" si="8"/>
        <v>0</v>
      </c>
      <c r="BU45" s="945">
        <f t="shared" si="9"/>
        <v>0</v>
      </c>
      <c r="BV45" s="299"/>
    </row>
    <row r="46" spans="1:74" ht="15.75">
      <c r="A46" s="407">
        <f>A43+1</f>
        <v>102</v>
      </c>
      <c r="B46" s="404" t="s">
        <v>636</v>
      </c>
      <c r="C46" s="1053" t="s">
        <v>545</v>
      </c>
      <c r="D46" s="1053"/>
      <c r="E46" s="1053"/>
      <c r="F46" s="1064">
        <v>0</v>
      </c>
      <c r="G46" s="1087" t="s">
        <v>1200</v>
      </c>
      <c r="H46" s="1088" t="s">
        <v>1201</v>
      </c>
      <c r="I46" s="775"/>
      <c r="J46" s="775"/>
      <c r="K46" s="250"/>
      <c r="L46" s="306"/>
      <c r="N46" s="301"/>
      <c r="O46" s="336">
        <f t="shared" si="40"/>
        <v>1928</v>
      </c>
      <c r="P46" s="337">
        <f t="shared" si="35"/>
        <v>0</v>
      </c>
      <c r="Q46" s="337">
        <f>IF(P46=0,0,T13-R46)</f>
        <v>0</v>
      </c>
      <c r="R46" s="337">
        <f t="shared" si="41"/>
        <v>0</v>
      </c>
      <c r="S46" s="337">
        <f>IF(U45=0,0,PV(T9/12,MAX(0,T46),-T13/12))</f>
        <v>0</v>
      </c>
      <c r="T46" s="337">
        <f t="shared" si="42"/>
        <v>0</v>
      </c>
      <c r="U46" s="943">
        <f t="shared" si="43"/>
        <v>0</v>
      </c>
      <c r="V46" s="944">
        <f t="shared" si="0"/>
        <v>0</v>
      </c>
      <c r="W46" s="945">
        <f t="shared" si="1"/>
        <v>0</v>
      </c>
      <c r="X46" s="299"/>
      <c r="Z46" s="301"/>
      <c r="AA46" s="336">
        <f t="shared" si="44"/>
        <v>1928</v>
      </c>
      <c r="AB46" s="337">
        <f t="shared" si="36"/>
        <v>0</v>
      </c>
      <c r="AC46" s="337">
        <f>IF(AB46=0,0,AE13-AD46)</f>
        <v>0</v>
      </c>
      <c r="AD46" s="337">
        <f t="shared" si="45"/>
        <v>0</v>
      </c>
      <c r="AE46" s="337">
        <f>IF(AG45=0,0,PV(AE9/12,MAX(0,AF46),-AE13/12))</f>
        <v>0</v>
      </c>
      <c r="AF46" s="337">
        <f t="shared" si="46"/>
        <v>0</v>
      </c>
      <c r="AG46" s="943">
        <f t="shared" si="47"/>
        <v>0</v>
      </c>
      <c r="AH46" s="944">
        <f t="shared" si="2"/>
        <v>0</v>
      </c>
      <c r="AI46" s="945">
        <f t="shared" si="3"/>
        <v>0</v>
      </c>
      <c r="AJ46" s="299"/>
      <c r="AL46" s="301"/>
      <c r="AM46" s="336">
        <f t="shared" si="48"/>
        <v>1928</v>
      </c>
      <c r="AN46" s="337">
        <f t="shared" si="37"/>
        <v>0</v>
      </c>
      <c r="AO46" s="337">
        <f>IF(AN46=0,0,AQ13-AP46)</f>
        <v>0</v>
      </c>
      <c r="AP46" s="337">
        <f t="shared" si="49"/>
        <v>0</v>
      </c>
      <c r="AQ46" s="337">
        <f>IF(AS45=0,0,PV(AQ9/12,MAX(0,AR46),-AQ13/12))</f>
        <v>0</v>
      </c>
      <c r="AR46" s="337">
        <f t="shared" si="50"/>
        <v>0</v>
      </c>
      <c r="AS46" s="943">
        <f t="shared" si="51"/>
        <v>0</v>
      </c>
      <c r="AT46" s="944">
        <f t="shared" si="4"/>
        <v>0</v>
      </c>
      <c r="AU46" s="945">
        <f t="shared" si="5"/>
        <v>0</v>
      </c>
      <c r="AV46" s="299"/>
      <c r="AY46" s="301"/>
      <c r="AZ46" s="336">
        <f t="shared" si="52"/>
        <v>1928</v>
      </c>
      <c r="BA46" s="337">
        <f t="shared" si="38"/>
        <v>0</v>
      </c>
      <c r="BB46" s="337">
        <f>IF(BA46=0,0,BD13-BC46)</f>
        <v>0</v>
      </c>
      <c r="BC46" s="337">
        <f t="shared" si="53"/>
        <v>0</v>
      </c>
      <c r="BD46" s="337">
        <f>IF(BF45=0,0,PV(BD9/12,MAX(0,BE46),-BD13/12))</f>
        <v>0</v>
      </c>
      <c r="BE46" s="337">
        <f t="shared" si="54"/>
        <v>0</v>
      </c>
      <c r="BF46" s="943">
        <f t="shared" si="55"/>
        <v>0</v>
      </c>
      <c r="BG46" s="944">
        <f t="shared" si="6"/>
        <v>0</v>
      </c>
      <c r="BH46" s="945">
        <f t="shared" si="7"/>
        <v>0</v>
      </c>
      <c r="BI46" s="299"/>
      <c r="BL46" s="301"/>
      <c r="BM46" s="336">
        <f t="shared" si="56"/>
        <v>1928</v>
      </c>
      <c r="BN46" s="337">
        <f t="shared" si="39"/>
        <v>0</v>
      </c>
      <c r="BO46" s="337">
        <f>IF(BN46=0,0,BQ13-BP46)</f>
        <v>0</v>
      </c>
      <c r="BP46" s="337">
        <f t="shared" si="57"/>
        <v>0</v>
      </c>
      <c r="BQ46" s="337">
        <f>IF(BS45=0,0,PV(BQ9/12,MAX(0,BR46),-BQ13/12))</f>
        <v>0</v>
      </c>
      <c r="BR46" s="337">
        <f t="shared" si="58"/>
        <v>0</v>
      </c>
      <c r="BS46" s="943">
        <f t="shared" si="59"/>
        <v>0</v>
      </c>
      <c r="BT46" s="944">
        <f t="shared" si="8"/>
        <v>0</v>
      </c>
      <c r="BU46" s="945">
        <f t="shared" si="9"/>
        <v>0</v>
      </c>
      <c r="BV46" s="299"/>
    </row>
    <row r="47" spans="1:74" ht="15.75">
      <c r="A47" s="407"/>
      <c r="B47" s="404"/>
      <c r="C47" s="404" t="s">
        <v>1202</v>
      </c>
      <c r="D47" s="1294"/>
      <c r="E47" s="1295"/>
      <c r="F47" s="1078"/>
      <c r="G47" s="404"/>
      <c r="H47" s="1089"/>
      <c r="I47" s="775"/>
      <c r="J47" s="404"/>
      <c r="K47" s="311"/>
      <c r="L47" s="340"/>
      <c r="N47" s="301"/>
      <c r="O47" s="336">
        <f t="shared" si="40"/>
        <v>1929</v>
      </c>
      <c r="P47" s="337">
        <f t="shared" si="35"/>
        <v>0</v>
      </c>
      <c r="Q47" s="337">
        <f>IF(P47=0,0,T13-R47)</f>
        <v>0</v>
      </c>
      <c r="R47" s="337">
        <f t="shared" si="41"/>
        <v>0</v>
      </c>
      <c r="S47" s="337">
        <f>IF(U46=0,0,PV(T9/12,MAX(0,T47),-T13/12))</f>
        <v>0</v>
      </c>
      <c r="T47" s="337">
        <f t="shared" si="42"/>
        <v>0</v>
      </c>
      <c r="U47" s="943">
        <f t="shared" si="43"/>
        <v>0</v>
      </c>
      <c r="V47" s="944">
        <f t="shared" si="0"/>
        <v>0</v>
      </c>
      <c r="W47" s="945">
        <f t="shared" si="1"/>
        <v>0</v>
      </c>
      <c r="X47" s="299"/>
      <c r="Z47" s="301"/>
      <c r="AA47" s="336">
        <f t="shared" si="44"/>
        <v>1929</v>
      </c>
      <c r="AB47" s="337">
        <f t="shared" si="36"/>
        <v>0</v>
      </c>
      <c r="AC47" s="337">
        <f>IF(AB47=0,0,AE13-AD47)</f>
        <v>0</v>
      </c>
      <c r="AD47" s="337">
        <f t="shared" si="45"/>
        <v>0</v>
      </c>
      <c r="AE47" s="337">
        <f>IF(AG46=0,0,PV(AE9/12,MAX(0,AF47),-AE13/12))</f>
        <v>0</v>
      </c>
      <c r="AF47" s="337">
        <f t="shared" si="46"/>
        <v>0</v>
      </c>
      <c r="AG47" s="943">
        <f t="shared" si="47"/>
        <v>0</v>
      </c>
      <c r="AH47" s="944">
        <f t="shared" si="2"/>
        <v>0</v>
      </c>
      <c r="AI47" s="945">
        <f t="shared" si="3"/>
        <v>0</v>
      </c>
      <c r="AJ47" s="299"/>
      <c r="AL47" s="301"/>
      <c r="AM47" s="336">
        <f t="shared" si="48"/>
        <v>1929</v>
      </c>
      <c r="AN47" s="337">
        <f t="shared" si="37"/>
        <v>0</v>
      </c>
      <c r="AO47" s="337">
        <f>IF(AN47=0,0,AQ13-AP47)</f>
        <v>0</v>
      </c>
      <c r="AP47" s="337">
        <f t="shared" si="49"/>
        <v>0</v>
      </c>
      <c r="AQ47" s="337">
        <f>IF(AS46=0,0,PV(AQ9/12,MAX(0,AR47),-AQ13/12))</f>
        <v>0</v>
      </c>
      <c r="AR47" s="337">
        <f t="shared" si="50"/>
        <v>0</v>
      </c>
      <c r="AS47" s="943">
        <f t="shared" si="51"/>
        <v>0</v>
      </c>
      <c r="AT47" s="944">
        <f t="shared" si="4"/>
        <v>0</v>
      </c>
      <c r="AU47" s="945">
        <f t="shared" si="5"/>
        <v>0</v>
      </c>
      <c r="AV47" s="299"/>
      <c r="AY47" s="301"/>
      <c r="AZ47" s="336">
        <f t="shared" si="52"/>
        <v>1929</v>
      </c>
      <c r="BA47" s="337">
        <f t="shared" si="38"/>
        <v>0</v>
      </c>
      <c r="BB47" s="337">
        <f>IF(BA47=0,0,BD13-BC47)</f>
        <v>0</v>
      </c>
      <c r="BC47" s="337">
        <f t="shared" si="53"/>
        <v>0</v>
      </c>
      <c r="BD47" s="337">
        <f>IF(BF46=0,0,PV(BD9/12,MAX(0,BE47),-BD13/12))</f>
        <v>0</v>
      </c>
      <c r="BE47" s="337">
        <f t="shared" si="54"/>
        <v>0</v>
      </c>
      <c r="BF47" s="943">
        <f t="shared" si="55"/>
        <v>0</v>
      </c>
      <c r="BG47" s="944">
        <f t="shared" si="6"/>
        <v>0</v>
      </c>
      <c r="BH47" s="945">
        <f t="shared" si="7"/>
        <v>0</v>
      </c>
      <c r="BI47" s="299"/>
      <c r="BL47" s="301"/>
      <c r="BM47" s="336">
        <f t="shared" si="56"/>
        <v>1929</v>
      </c>
      <c r="BN47" s="337">
        <f t="shared" si="39"/>
        <v>0</v>
      </c>
      <c r="BO47" s="337">
        <f>IF(BN47=0,0,BQ13-BP47)</f>
        <v>0</v>
      </c>
      <c r="BP47" s="337">
        <f t="shared" si="57"/>
        <v>0</v>
      </c>
      <c r="BQ47" s="337">
        <f>IF(BS46=0,0,PV(BQ9/12,MAX(0,BR47),-BQ13/12))</f>
        <v>0</v>
      </c>
      <c r="BR47" s="337">
        <f t="shared" si="58"/>
        <v>0</v>
      </c>
      <c r="BS47" s="943">
        <f t="shared" si="59"/>
        <v>0</v>
      </c>
      <c r="BT47" s="944">
        <f t="shared" si="8"/>
        <v>0</v>
      </c>
      <c r="BU47" s="945">
        <f t="shared" si="9"/>
        <v>0</v>
      </c>
      <c r="BV47" s="299"/>
    </row>
    <row r="48" spans="1:74" ht="15.75">
      <c r="A48" s="407"/>
      <c r="B48" s="404"/>
      <c r="C48" s="404" t="s">
        <v>1203</v>
      </c>
      <c r="D48" s="1294"/>
      <c r="E48" s="1295"/>
      <c r="F48" s="471" t="s">
        <v>1204</v>
      </c>
      <c r="G48" s="404"/>
      <c r="H48" s="1089"/>
      <c r="I48" s="775"/>
      <c r="J48" s="404"/>
      <c r="K48" s="311"/>
      <c r="L48" s="340"/>
      <c r="N48" s="301"/>
      <c r="O48" s="336">
        <f t="shared" si="40"/>
        <v>1930</v>
      </c>
      <c r="P48" s="337">
        <f t="shared" si="35"/>
        <v>0</v>
      </c>
      <c r="Q48" s="337">
        <f>IF(P48=0,0,T13-R48)</f>
        <v>0</v>
      </c>
      <c r="R48" s="337">
        <f t="shared" si="41"/>
        <v>0</v>
      </c>
      <c r="S48" s="337">
        <f>IF(U47=0,0,PV(T9/12,MAX(0,T48),-T13/12))</f>
        <v>0</v>
      </c>
      <c r="T48" s="337">
        <f t="shared" si="42"/>
        <v>0</v>
      </c>
      <c r="U48" s="943">
        <f t="shared" si="43"/>
        <v>0</v>
      </c>
      <c r="V48" s="944">
        <f t="shared" si="0"/>
        <v>0</v>
      </c>
      <c r="W48" s="945">
        <f t="shared" si="1"/>
        <v>0</v>
      </c>
      <c r="X48" s="299"/>
      <c r="Z48" s="301"/>
      <c r="AA48" s="336">
        <f t="shared" si="44"/>
        <v>1930</v>
      </c>
      <c r="AB48" s="337">
        <f t="shared" si="36"/>
        <v>0</v>
      </c>
      <c r="AC48" s="337">
        <f>IF(AB48=0,0,AE13-AD48)</f>
        <v>0</v>
      </c>
      <c r="AD48" s="337">
        <f t="shared" si="45"/>
        <v>0</v>
      </c>
      <c r="AE48" s="337">
        <f>IF(AG47=0,0,PV(AE9/12,MAX(0,AF48),-AE13/12))</f>
        <v>0</v>
      </c>
      <c r="AF48" s="337">
        <f t="shared" si="46"/>
        <v>0</v>
      </c>
      <c r="AG48" s="943">
        <f t="shared" si="47"/>
        <v>0</v>
      </c>
      <c r="AH48" s="944">
        <f t="shared" si="2"/>
        <v>0</v>
      </c>
      <c r="AI48" s="945">
        <f t="shared" si="3"/>
        <v>0</v>
      </c>
      <c r="AJ48" s="299"/>
      <c r="AL48" s="301"/>
      <c r="AM48" s="336">
        <f t="shared" si="48"/>
        <v>1930</v>
      </c>
      <c r="AN48" s="337">
        <f t="shared" si="37"/>
        <v>0</v>
      </c>
      <c r="AO48" s="337">
        <f>IF(AN48=0,0,AQ13-AP48)</f>
        <v>0</v>
      </c>
      <c r="AP48" s="337">
        <f t="shared" si="49"/>
        <v>0</v>
      </c>
      <c r="AQ48" s="337">
        <f>IF(AS47=0,0,PV(AQ9/12,MAX(0,AR48),-AQ13/12))</f>
        <v>0</v>
      </c>
      <c r="AR48" s="337">
        <f t="shared" si="50"/>
        <v>0</v>
      </c>
      <c r="AS48" s="943">
        <f t="shared" si="51"/>
        <v>0</v>
      </c>
      <c r="AT48" s="944">
        <f t="shared" si="4"/>
        <v>0</v>
      </c>
      <c r="AU48" s="945">
        <f t="shared" si="5"/>
        <v>0</v>
      </c>
      <c r="AV48" s="299"/>
      <c r="AY48" s="301"/>
      <c r="AZ48" s="336">
        <f t="shared" si="52"/>
        <v>1930</v>
      </c>
      <c r="BA48" s="337">
        <f t="shared" si="38"/>
        <v>0</v>
      </c>
      <c r="BB48" s="337">
        <f>IF(BA48=0,0,BD13-BC48)</f>
        <v>0</v>
      </c>
      <c r="BC48" s="337">
        <f t="shared" si="53"/>
        <v>0</v>
      </c>
      <c r="BD48" s="337">
        <f>IF(BF47=0,0,PV(BD9/12,MAX(0,BE48),-BD13/12))</f>
        <v>0</v>
      </c>
      <c r="BE48" s="337">
        <f t="shared" si="54"/>
        <v>0</v>
      </c>
      <c r="BF48" s="943">
        <f t="shared" si="55"/>
        <v>0</v>
      </c>
      <c r="BG48" s="944">
        <f t="shared" si="6"/>
        <v>0</v>
      </c>
      <c r="BH48" s="945">
        <f t="shared" si="7"/>
        <v>0</v>
      </c>
      <c r="BI48" s="299"/>
      <c r="BL48" s="301"/>
      <c r="BM48" s="336">
        <f t="shared" si="56"/>
        <v>1930</v>
      </c>
      <c r="BN48" s="337">
        <f t="shared" si="39"/>
        <v>0</v>
      </c>
      <c r="BO48" s="337">
        <f>IF(BN48=0,0,BQ13-BP48)</f>
        <v>0</v>
      </c>
      <c r="BP48" s="337">
        <f t="shared" si="57"/>
        <v>0</v>
      </c>
      <c r="BQ48" s="337">
        <f>IF(BS47=0,0,PV(BQ9/12,MAX(0,BR48),-BQ13/12))</f>
        <v>0</v>
      </c>
      <c r="BR48" s="337">
        <f t="shared" si="58"/>
        <v>0</v>
      </c>
      <c r="BS48" s="943">
        <f t="shared" si="59"/>
        <v>0</v>
      </c>
      <c r="BT48" s="944">
        <f t="shared" si="8"/>
        <v>0</v>
      </c>
      <c r="BU48" s="945">
        <f t="shared" si="9"/>
        <v>0</v>
      </c>
      <c r="BV48" s="299"/>
    </row>
    <row r="49" spans="1:126" ht="15.75">
      <c r="A49" s="407">
        <f>A46+1</f>
        <v>103</v>
      </c>
      <c r="B49" s="404" t="s">
        <v>636</v>
      </c>
      <c r="C49" s="1053" t="s">
        <v>688</v>
      </c>
      <c r="D49" s="1053"/>
      <c r="E49" s="1053"/>
      <c r="F49" s="1064">
        <v>0</v>
      </c>
      <c r="G49" s="1087" t="s">
        <v>1200</v>
      </c>
      <c r="H49" s="1088" t="s">
        <v>1201</v>
      </c>
      <c r="I49" s="775"/>
      <c r="J49" s="775"/>
      <c r="K49" s="250"/>
      <c r="L49" s="306"/>
      <c r="N49" s="301"/>
      <c r="O49" s="336">
        <f t="shared" si="40"/>
        <v>1931</v>
      </c>
      <c r="P49" s="337">
        <f t="shared" si="35"/>
        <v>0</v>
      </c>
      <c r="Q49" s="337">
        <f>IF(P49=0,0,T13-R49)</f>
        <v>0</v>
      </c>
      <c r="R49" s="337">
        <f t="shared" si="41"/>
        <v>0</v>
      </c>
      <c r="S49" s="337">
        <f>IF(U48=0,0,PV(T9/12,MAX(0,T49),-T13/12))</f>
        <v>0</v>
      </c>
      <c r="T49" s="337">
        <f t="shared" si="42"/>
        <v>0</v>
      </c>
      <c r="U49" s="943">
        <f t="shared" si="43"/>
        <v>0</v>
      </c>
      <c r="V49" s="944">
        <f t="shared" si="0"/>
        <v>0</v>
      </c>
      <c r="W49" s="945">
        <f t="shared" si="1"/>
        <v>0</v>
      </c>
      <c r="X49" s="299"/>
      <c r="Z49" s="301"/>
      <c r="AA49" s="336">
        <f t="shared" si="44"/>
        <v>1931</v>
      </c>
      <c r="AB49" s="337">
        <f t="shared" si="36"/>
        <v>0</v>
      </c>
      <c r="AC49" s="337">
        <f>IF(AB49=0,0,AE13-AD49)</f>
        <v>0</v>
      </c>
      <c r="AD49" s="337">
        <f t="shared" si="45"/>
        <v>0</v>
      </c>
      <c r="AE49" s="337">
        <f>IF(AG48=0,0,PV(AE9/12,MAX(0,AF49),-AE13/12))</f>
        <v>0</v>
      </c>
      <c r="AF49" s="337">
        <f t="shared" si="46"/>
        <v>0</v>
      </c>
      <c r="AG49" s="943">
        <f t="shared" si="47"/>
        <v>0</v>
      </c>
      <c r="AH49" s="944">
        <f t="shared" si="2"/>
        <v>0</v>
      </c>
      <c r="AI49" s="945">
        <f t="shared" si="3"/>
        <v>0</v>
      </c>
      <c r="AJ49" s="299"/>
      <c r="AL49" s="301"/>
      <c r="AM49" s="336">
        <f t="shared" si="48"/>
        <v>1931</v>
      </c>
      <c r="AN49" s="337">
        <f t="shared" si="37"/>
        <v>0</v>
      </c>
      <c r="AO49" s="337">
        <f>IF(AN49=0,0,AQ13-AP49)</f>
        <v>0</v>
      </c>
      <c r="AP49" s="337">
        <f t="shared" si="49"/>
        <v>0</v>
      </c>
      <c r="AQ49" s="337">
        <f>IF(AS48=0,0,PV(AQ9/12,MAX(0,AR49),-AQ13/12))</f>
        <v>0</v>
      </c>
      <c r="AR49" s="337">
        <f t="shared" si="50"/>
        <v>0</v>
      </c>
      <c r="AS49" s="943">
        <f t="shared" si="51"/>
        <v>0</v>
      </c>
      <c r="AT49" s="944">
        <f t="shared" si="4"/>
        <v>0</v>
      </c>
      <c r="AU49" s="945">
        <f t="shared" si="5"/>
        <v>0</v>
      </c>
      <c r="AV49" s="299"/>
      <c r="AY49" s="301"/>
      <c r="AZ49" s="336">
        <f t="shared" si="52"/>
        <v>1931</v>
      </c>
      <c r="BA49" s="337">
        <f t="shared" si="38"/>
        <v>0</v>
      </c>
      <c r="BB49" s="337">
        <f>IF(BA49=0,0,BD13-BC49)</f>
        <v>0</v>
      </c>
      <c r="BC49" s="337">
        <f t="shared" si="53"/>
        <v>0</v>
      </c>
      <c r="BD49" s="337">
        <f>IF(BF48=0,0,PV(BD9/12,MAX(0,BE49),-BD13/12))</f>
        <v>0</v>
      </c>
      <c r="BE49" s="337">
        <f t="shared" si="54"/>
        <v>0</v>
      </c>
      <c r="BF49" s="943">
        <f t="shared" si="55"/>
        <v>0</v>
      </c>
      <c r="BG49" s="944">
        <f t="shared" si="6"/>
        <v>0</v>
      </c>
      <c r="BH49" s="945">
        <f t="shared" si="7"/>
        <v>0</v>
      </c>
      <c r="BI49" s="299"/>
      <c r="BL49" s="301"/>
      <c r="BM49" s="336">
        <f t="shared" si="56"/>
        <v>1931</v>
      </c>
      <c r="BN49" s="337">
        <f t="shared" si="39"/>
        <v>0</v>
      </c>
      <c r="BO49" s="337">
        <f>IF(BN49=0,0,BQ13-BP49)</f>
        <v>0</v>
      </c>
      <c r="BP49" s="337">
        <f t="shared" si="57"/>
        <v>0</v>
      </c>
      <c r="BQ49" s="337">
        <f>IF(BS48=0,0,PV(BQ9/12,MAX(0,BR49),-BQ13/12))</f>
        <v>0</v>
      </c>
      <c r="BR49" s="337">
        <f t="shared" si="58"/>
        <v>0</v>
      </c>
      <c r="BS49" s="943">
        <f t="shared" si="59"/>
        <v>0</v>
      </c>
      <c r="BT49" s="944">
        <f t="shared" si="8"/>
        <v>0</v>
      </c>
      <c r="BU49" s="945">
        <f t="shared" si="9"/>
        <v>0</v>
      </c>
      <c r="BV49" s="299"/>
    </row>
    <row r="50" spans="1:126" ht="15.75">
      <c r="A50" s="407"/>
      <c r="B50" s="404"/>
      <c r="C50" s="404" t="s">
        <v>1202</v>
      </c>
      <c r="D50" s="1294"/>
      <c r="E50" s="1295"/>
      <c r="F50" s="1078"/>
      <c r="G50" s="404"/>
      <c r="H50" s="1089"/>
      <c r="I50" s="775"/>
      <c r="J50" s="404"/>
      <c r="K50" s="311"/>
      <c r="L50" s="340"/>
      <c r="N50" s="301"/>
      <c r="O50" s="336">
        <f t="shared" si="40"/>
        <v>1932</v>
      </c>
      <c r="P50" s="337">
        <f t="shared" si="35"/>
        <v>0</v>
      </c>
      <c r="Q50" s="337">
        <f>IF(P50=0,0,T13-R50)</f>
        <v>0</v>
      </c>
      <c r="R50" s="337">
        <f t="shared" si="41"/>
        <v>0</v>
      </c>
      <c r="S50" s="337">
        <f>IF(U49=0,0,PV(T9/12,MAX(0,T50),-T13/12))</f>
        <v>0</v>
      </c>
      <c r="T50" s="337">
        <f t="shared" si="42"/>
        <v>0</v>
      </c>
      <c r="U50" s="943">
        <f t="shared" si="43"/>
        <v>0</v>
      </c>
      <c r="V50" s="944">
        <f t="shared" si="0"/>
        <v>0</v>
      </c>
      <c r="W50" s="945">
        <f t="shared" si="1"/>
        <v>0</v>
      </c>
      <c r="X50" s="299"/>
      <c r="Z50" s="301"/>
      <c r="AA50" s="336">
        <f t="shared" si="44"/>
        <v>1932</v>
      </c>
      <c r="AB50" s="337">
        <f t="shared" si="36"/>
        <v>0</v>
      </c>
      <c r="AC50" s="337">
        <f>IF(AB50=0,0,AE13-AD50)</f>
        <v>0</v>
      </c>
      <c r="AD50" s="337">
        <f t="shared" si="45"/>
        <v>0</v>
      </c>
      <c r="AE50" s="337">
        <f>IF(AG49=0,0,PV(AE9/12,MAX(0,AF50),-AE13/12))</f>
        <v>0</v>
      </c>
      <c r="AF50" s="337">
        <f t="shared" si="46"/>
        <v>0</v>
      </c>
      <c r="AG50" s="943">
        <f t="shared" si="47"/>
        <v>0</v>
      </c>
      <c r="AH50" s="944">
        <f t="shared" si="2"/>
        <v>0</v>
      </c>
      <c r="AI50" s="945">
        <f t="shared" si="3"/>
        <v>0</v>
      </c>
      <c r="AJ50" s="299"/>
      <c r="AL50" s="301"/>
      <c r="AM50" s="336">
        <f t="shared" si="48"/>
        <v>1932</v>
      </c>
      <c r="AN50" s="337">
        <f t="shared" si="37"/>
        <v>0</v>
      </c>
      <c r="AO50" s="337">
        <f>IF(AN50=0,0,AQ13-AP50)</f>
        <v>0</v>
      </c>
      <c r="AP50" s="337">
        <f t="shared" si="49"/>
        <v>0</v>
      </c>
      <c r="AQ50" s="337">
        <f>IF(AS49=0,0,PV(AQ9/12,MAX(0,AR50),-AQ13/12))</f>
        <v>0</v>
      </c>
      <c r="AR50" s="337">
        <f t="shared" si="50"/>
        <v>0</v>
      </c>
      <c r="AS50" s="943">
        <f t="shared" si="51"/>
        <v>0</v>
      </c>
      <c r="AT50" s="944">
        <f t="shared" si="4"/>
        <v>0</v>
      </c>
      <c r="AU50" s="945">
        <f t="shared" si="5"/>
        <v>0</v>
      </c>
      <c r="AV50" s="299"/>
      <c r="AY50" s="301"/>
      <c r="AZ50" s="336">
        <f t="shared" si="52"/>
        <v>1932</v>
      </c>
      <c r="BA50" s="337">
        <f t="shared" si="38"/>
        <v>0</v>
      </c>
      <c r="BB50" s="337">
        <f>IF(BA50=0,0,BD13-BC50)</f>
        <v>0</v>
      </c>
      <c r="BC50" s="337">
        <f t="shared" si="53"/>
        <v>0</v>
      </c>
      <c r="BD50" s="337">
        <f>IF(BF49=0,0,PV(BD9/12,MAX(0,BE50),-BD13/12))</f>
        <v>0</v>
      </c>
      <c r="BE50" s="337">
        <f t="shared" si="54"/>
        <v>0</v>
      </c>
      <c r="BF50" s="943">
        <f t="shared" si="55"/>
        <v>0</v>
      </c>
      <c r="BG50" s="944">
        <f t="shared" si="6"/>
        <v>0</v>
      </c>
      <c r="BH50" s="945">
        <f t="shared" si="7"/>
        <v>0</v>
      </c>
      <c r="BI50" s="299"/>
      <c r="BL50" s="301"/>
      <c r="BM50" s="336">
        <f t="shared" si="56"/>
        <v>1932</v>
      </c>
      <c r="BN50" s="337">
        <f t="shared" si="39"/>
        <v>0</v>
      </c>
      <c r="BO50" s="337">
        <f>IF(BN50=0,0,BQ13-BP50)</f>
        <v>0</v>
      </c>
      <c r="BP50" s="337">
        <f t="shared" si="57"/>
        <v>0</v>
      </c>
      <c r="BQ50" s="337">
        <f>IF(BS49=0,0,PV(BQ9/12,MAX(0,BR50),-BQ13/12))</f>
        <v>0</v>
      </c>
      <c r="BR50" s="337">
        <f t="shared" si="58"/>
        <v>0</v>
      </c>
      <c r="BS50" s="943">
        <f t="shared" si="59"/>
        <v>0</v>
      </c>
      <c r="BT50" s="944">
        <f t="shared" si="8"/>
        <v>0</v>
      </c>
      <c r="BU50" s="945">
        <f t="shared" si="9"/>
        <v>0</v>
      </c>
      <c r="BV50" s="299"/>
    </row>
    <row r="51" spans="1:126" ht="15.75">
      <c r="A51" s="407"/>
      <c r="B51" s="404"/>
      <c r="C51" s="404" t="s">
        <v>1203</v>
      </c>
      <c r="D51" s="1294"/>
      <c r="E51" s="1295"/>
      <c r="F51" s="471" t="s">
        <v>1204</v>
      </c>
      <c r="G51" s="404"/>
      <c r="H51" s="1089"/>
      <c r="I51" s="775"/>
      <c r="J51" s="404"/>
      <c r="K51" s="311"/>
      <c r="L51" s="340"/>
      <c r="N51" s="301"/>
      <c r="O51" s="336">
        <f t="shared" si="40"/>
        <v>1933</v>
      </c>
      <c r="P51" s="337">
        <f t="shared" si="35"/>
        <v>0</v>
      </c>
      <c r="Q51" s="337">
        <f>IF(P51=0,0,T13-R51)</f>
        <v>0</v>
      </c>
      <c r="R51" s="337">
        <f t="shared" si="41"/>
        <v>0</v>
      </c>
      <c r="S51" s="337">
        <f>IF(U50=0,0,PV(T9/12,MAX(0,T51),-T13/12))</f>
        <v>0</v>
      </c>
      <c r="T51" s="337">
        <f t="shared" si="42"/>
        <v>0</v>
      </c>
      <c r="U51" s="943">
        <f t="shared" si="43"/>
        <v>0</v>
      </c>
      <c r="V51" s="944">
        <f t="shared" si="0"/>
        <v>0</v>
      </c>
      <c r="W51" s="945">
        <f t="shared" si="1"/>
        <v>0</v>
      </c>
      <c r="X51" s="299"/>
      <c r="Z51" s="301"/>
      <c r="AA51" s="336">
        <f t="shared" si="44"/>
        <v>1933</v>
      </c>
      <c r="AB51" s="337">
        <f t="shared" si="36"/>
        <v>0</v>
      </c>
      <c r="AC51" s="337">
        <f>IF(AB51=0,0,AE13-AD51)</f>
        <v>0</v>
      </c>
      <c r="AD51" s="337">
        <f t="shared" si="45"/>
        <v>0</v>
      </c>
      <c r="AE51" s="337">
        <f>IF(AG50=0,0,PV(AE9/12,MAX(0,AF51),-AE13/12))</f>
        <v>0</v>
      </c>
      <c r="AF51" s="337">
        <f t="shared" si="46"/>
        <v>0</v>
      </c>
      <c r="AG51" s="943">
        <f t="shared" si="47"/>
        <v>0</v>
      </c>
      <c r="AH51" s="944">
        <f t="shared" si="2"/>
        <v>0</v>
      </c>
      <c r="AI51" s="945">
        <f t="shared" si="3"/>
        <v>0</v>
      </c>
      <c r="AJ51" s="299"/>
      <c r="AL51" s="301"/>
      <c r="AM51" s="336">
        <f t="shared" si="48"/>
        <v>1933</v>
      </c>
      <c r="AN51" s="337">
        <f t="shared" si="37"/>
        <v>0</v>
      </c>
      <c r="AO51" s="337">
        <f>IF(AN51=0,0,AQ13-AP51)</f>
        <v>0</v>
      </c>
      <c r="AP51" s="337">
        <f t="shared" si="49"/>
        <v>0</v>
      </c>
      <c r="AQ51" s="337">
        <f>IF(AS50=0,0,PV(AQ9/12,MAX(0,AR51),-AQ13/12))</f>
        <v>0</v>
      </c>
      <c r="AR51" s="337">
        <f t="shared" si="50"/>
        <v>0</v>
      </c>
      <c r="AS51" s="943">
        <f t="shared" si="51"/>
        <v>0</v>
      </c>
      <c r="AT51" s="944">
        <f t="shared" si="4"/>
        <v>0</v>
      </c>
      <c r="AU51" s="945">
        <f t="shared" si="5"/>
        <v>0</v>
      </c>
      <c r="AV51" s="299"/>
      <c r="AY51" s="301"/>
      <c r="AZ51" s="336">
        <f t="shared" si="52"/>
        <v>1933</v>
      </c>
      <c r="BA51" s="337">
        <f t="shared" si="38"/>
        <v>0</v>
      </c>
      <c r="BB51" s="337">
        <f>IF(BA51=0,0,BD13-BC51)</f>
        <v>0</v>
      </c>
      <c r="BC51" s="337">
        <f t="shared" si="53"/>
        <v>0</v>
      </c>
      <c r="BD51" s="337">
        <f>IF(BF50=0,0,PV(BD9/12,MAX(0,BE51),-BD13/12))</f>
        <v>0</v>
      </c>
      <c r="BE51" s="337">
        <f t="shared" si="54"/>
        <v>0</v>
      </c>
      <c r="BF51" s="943">
        <f t="shared" si="55"/>
        <v>0</v>
      </c>
      <c r="BG51" s="944">
        <f t="shared" si="6"/>
        <v>0</v>
      </c>
      <c r="BH51" s="945">
        <f t="shared" si="7"/>
        <v>0</v>
      </c>
      <c r="BI51" s="299"/>
      <c r="BL51" s="301"/>
      <c r="BM51" s="336">
        <f t="shared" si="56"/>
        <v>1933</v>
      </c>
      <c r="BN51" s="337">
        <f t="shared" si="39"/>
        <v>0</v>
      </c>
      <c r="BO51" s="337">
        <f>IF(BN51=0,0,BQ13-BP51)</f>
        <v>0</v>
      </c>
      <c r="BP51" s="337">
        <f t="shared" si="57"/>
        <v>0</v>
      </c>
      <c r="BQ51" s="337">
        <f>IF(BS50=0,0,PV(BQ9/12,MAX(0,BR51),-BQ13/12))</f>
        <v>0</v>
      </c>
      <c r="BR51" s="337">
        <f t="shared" si="58"/>
        <v>0</v>
      </c>
      <c r="BS51" s="943">
        <f t="shared" si="59"/>
        <v>0</v>
      </c>
      <c r="BT51" s="944">
        <f t="shared" si="8"/>
        <v>0</v>
      </c>
      <c r="BU51" s="945">
        <f t="shared" si="9"/>
        <v>0</v>
      </c>
      <c r="BV51" s="299"/>
    </row>
    <row r="52" spans="1:126" ht="15.75">
      <c r="A52" s="407">
        <f>A49+1</f>
        <v>104</v>
      </c>
      <c r="B52" s="404" t="s">
        <v>636</v>
      </c>
      <c r="C52" s="1053" t="s">
        <v>689</v>
      </c>
      <c r="D52" s="1053"/>
      <c r="E52" s="1053"/>
      <c r="F52" s="1064">
        <v>0</v>
      </c>
      <c r="G52" s="1087" t="s">
        <v>1200</v>
      </c>
      <c r="H52" s="1088" t="s">
        <v>1201</v>
      </c>
      <c r="I52" s="775"/>
      <c r="J52" s="775"/>
      <c r="K52" s="250"/>
      <c r="L52" s="306"/>
      <c r="N52" s="301"/>
      <c r="O52" s="336">
        <f t="shared" si="40"/>
        <v>1934</v>
      </c>
      <c r="P52" s="337">
        <f t="shared" si="35"/>
        <v>0</v>
      </c>
      <c r="Q52" s="337">
        <f>IF(P52=0,0,T13-R52)</f>
        <v>0</v>
      </c>
      <c r="R52" s="337">
        <f t="shared" si="41"/>
        <v>0</v>
      </c>
      <c r="S52" s="337">
        <f>IF(U51=0,0,PV(T9/12,MAX(0,T52),-T13/12))</f>
        <v>0</v>
      </c>
      <c r="T52" s="337">
        <f t="shared" si="42"/>
        <v>0</v>
      </c>
      <c r="U52" s="943">
        <f t="shared" si="43"/>
        <v>0</v>
      </c>
      <c r="V52" s="944">
        <f t="shared" si="0"/>
        <v>0</v>
      </c>
      <c r="W52" s="945">
        <f t="shared" si="1"/>
        <v>0</v>
      </c>
      <c r="X52" s="299"/>
      <c r="Z52" s="301"/>
      <c r="AA52" s="336">
        <f t="shared" si="44"/>
        <v>1934</v>
      </c>
      <c r="AB52" s="337">
        <f t="shared" si="36"/>
        <v>0</v>
      </c>
      <c r="AC52" s="337">
        <f>IF(AB52=0,0,AE13-AD52)</f>
        <v>0</v>
      </c>
      <c r="AD52" s="337">
        <f t="shared" si="45"/>
        <v>0</v>
      </c>
      <c r="AE52" s="337">
        <f>IF(AG51=0,0,PV(AE9/12,MAX(0,AF52),-AE13/12))</f>
        <v>0</v>
      </c>
      <c r="AF52" s="337">
        <f t="shared" si="46"/>
        <v>0</v>
      </c>
      <c r="AG52" s="943">
        <f t="shared" si="47"/>
        <v>0</v>
      </c>
      <c r="AH52" s="944">
        <f t="shared" si="2"/>
        <v>0</v>
      </c>
      <c r="AI52" s="945">
        <f t="shared" si="3"/>
        <v>0</v>
      </c>
      <c r="AJ52" s="299"/>
      <c r="AL52" s="301"/>
      <c r="AM52" s="336">
        <f t="shared" si="48"/>
        <v>1934</v>
      </c>
      <c r="AN52" s="337">
        <f t="shared" si="37"/>
        <v>0</v>
      </c>
      <c r="AO52" s="337">
        <f>IF(AN52=0,0,AQ13-AP52)</f>
        <v>0</v>
      </c>
      <c r="AP52" s="337">
        <f t="shared" si="49"/>
        <v>0</v>
      </c>
      <c r="AQ52" s="337">
        <f>IF(AS51=0,0,PV(AQ9/12,MAX(0,AR52),-AQ13/12))</f>
        <v>0</v>
      </c>
      <c r="AR52" s="337">
        <f t="shared" si="50"/>
        <v>0</v>
      </c>
      <c r="AS52" s="943">
        <f t="shared" si="51"/>
        <v>0</v>
      </c>
      <c r="AT52" s="944">
        <f t="shared" si="4"/>
        <v>0</v>
      </c>
      <c r="AU52" s="945">
        <f t="shared" si="5"/>
        <v>0</v>
      </c>
      <c r="AV52" s="299"/>
      <c r="AY52" s="301"/>
      <c r="AZ52" s="336">
        <f t="shared" si="52"/>
        <v>1934</v>
      </c>
      <c r="BA52" s="337">
        <f t="shared" si="38"/>
        <v>0</v>
      </c>
      <c r="BB52" s="337">
        <f>IF(BA52=0,0,BD13-BC52)</f>
        <v>0</v>
      </c>
      <c r="BC52" s="337">
        <f t="shared" si="53"/>
        <v>0</v>
      </c>
      <c r="BD52" s="337">
        <f>IF(BF51=0,0,PV(BD9/12,MAX(0,BE52),-BD13/12))</f>
        <v>0</v>
      </c>
      <c r="BE52" s="337">
        <f t="shared" si="54"/>
        <v>0</v>
      </c>
      <c r="BF52" s="943">
        <f t="shared" si="55"/>
        <v>0</v>
      </c>
      <c r="BG52" s="944">
        <f t="shared" si="6"/>
        <v>0</v>
      </c>
      <c r="BH52" s="945">
        <f t="shared" si="7"/>
        <v>0</v>
      </c>
      <c r="BI52" s="299"/>
      <c r="BL52" s="301"/>
      <c r="BM52" s="336">
        <f t="shared" si="56"/>
        <v>1934</v>
      </c>
      <c r="BN52" s="337">
        <f t="shared" si="39"/>
        <v>0</v>
      </c>
      <c r="BO52" s="337">
        <f>IF(BN52=0,0,BQ13-BP52)</f>
        <v>0</v>
      </c>
      <c r="BP52" s="337">
        <f t="shared" si="57"/>
        <v>0</v>
      </c>
      <c r="BQ52" s="337">
        <f>IF(BS51=0,0,PV(BQ9/12,MAX(0,BR52),-BQ13/12))</f>
        <v>0</v>
      </c>
      <c r="BR52" s="337">
        <f t="shared" si="58"/>
        <v>0</v>
      </c>
      <c r="BS52" s="943">
        <f t="shared" si="59"/>
        <v>0</v>
      </c>
      <c r="BT52" s="944">
        <f t="shared" si="8"/>
        <v>0</v>
      </c>
      <c r="BU52" s="945">
        <f t="shared" si="9"/>
        <v>0</v>
      </c>
      <c r="BV52" s="299"/>
    </row>
    <row r="53" spans="1:126" ht="15.75">
      <c r="A53" s="407"/>
      <c r="B53" s="404"/>
      <c r="C53" s="404" t="s">
        <v>1202</v>
      </c>
      <c r="D53" s="1294"/>
      <c r="E53" s="1295"/>
      <c r="F53" s="404"/>
      <c r="G53" s="1078"/>
      <c r="H53" s="1078"/>
      <c r="I53" s="404"/>
      <c r="J53" s="404"/>
      <c r="K53" s="311"/>
      <c r="L53" s="340"/>
      <c r="N53" s="301"/>
      <c r="O53" s="336">
        <f t="shared" si="40"/>
        <v>1935</v>
      </c>
      <c r="P53" s="337">
        <f t="shared" si="35"/>
        <v>0</v>
      </c>
      <c r="Q53" s="337">
        <f>IF(P53=0,0,T13-R53)</f>
        <v>0</v>
      </c>
      <c r="R53" s="337">
        <f t="shared" si="41"/>
        <v>0</v>
      </c>
      <c r="S53" s="337">
        <f>IF(U52=0,0,PV(T9/12,MAX(0,T53),-T13/12))</f>
        <v>0</v>
      </c>
      <c r="T53" s="337">
        <f t="shared" si="42"/>
        <v>0</v>
      </c>
      <c r="U53" s="943">
        <f t="shared" si="43"/>
        <v>0</v>
      </c>
      <c r="V53" s="944">
        <f t="shared" si="0"/>
        <v>0</v>
      </c>
      <c r="W53" s="945">
        <f t="shared" si="1"/>
        <v>0</v>
      </c>
      <c r="X53" s="299"/>
      <c r="Z53" s="301"/>
      <c r="AA53" s="336">
        <f t="shared" si="44"/>
        <v>1935</v>
      </c>
      <c r="AB53" s="337">
        <f t="shared" si="36"/>
        <v>0</v>
      </c>
      <c r="AC53" s="337">
        <f>IF(AB53=0,0,AE13-AD53)</f>
        <v>0</v>
      </c>
      <c r="AD53" s="337">
        <f t="shared" si="45"/>
        <v>0</v>
      </c>
      <c r="AE53" s="337">
        <f>IF(AG52=0,0,PV(AE9/12,MAX(0,AF53),-AE13/12))</f>
        <v>0</v>
      </c>
      <c r="AF53" s="337">
        <f t="shared" si="46"/>
        <v>0</v>
      </c>
      <c r="AG53" s="943">
        <f t="shared" si="47"/>
        <v>0</v>
      </c>
      <c r="AH53" s="944">
        <f t="shared" si="2"/>
        <v>0</v>
      </c>
      <c r="AI53" s="945">
        <f t="shared" si="3"/>
        <v>0</v>
      </c>
      <c r="AJ53" s="299"/>
      <c r="AL53" s="301"/>
      <c r="AM53" s="336">
        <f t="shared" si="48"/>
        <v>1935</v>
      </c>
      <c r="AN53" s="337">
        <f t="shared" si="37"/>
        <v>0</v>
      </c>
      <c r="AO53" s="337">
        <f>IF(AN53=0,0,AQ13-AP53)</f>
        <v>0</v>
      </c>
      <c r="AP53" s="337">
        <f t="shared" si="49"/>
        <v>0</v>
      </c>
      <c r="AQ53" s="337">
        <f>IF(AS52=0,0,PV(AQ9/12,MAX(0,AR53),-AQ13/12))</f>
        <v>0</v>
      </c>
      <c r="AR53" s="337">
        <f t="shared" si="50"/>
        <v>0</v>
      </c>
      <c r="AS53" s="943">
        <f t="shared" si="51"/>
        <v>0</v>
      </c>
      <c r="AT53" s="944">
        <f t="shared" si="4"/>
        <v>0</v>
      </c>
      <c r="AU53" s="945">
        <f t="shared" si="5"/>
        <v>0</v>
      </c>
      <c r="AV53" s="299"/>
      <c r="AY53" s="301"/>
      <c r="AZ53" s="336">
        <f t="shared" si="52"/>
        <v>1935</v>
      </c>
      <c r="BA53" s="337">
        <f t="shared" si="38"/>
        <v>0</v>
      </c>
      <c r="BB53" s="337">
        <f>IF(BA53=0,0,BD13-BC53)</f>
        <v>0</v>
      </c>
      <c r="BC53" s="337">
        <f t="shared" si="53"/>
        <v>0</v>
      </c>
      <c r="BD53" s="337">
        <f>IF(BF52=0,0,PV(BD9/12,MAX(0,BE53),-BD13/12))</f>
        <v>0</v>
      </c>
      <c r="BE53" s="337">
        <f t="shared" si="54"/>
        <v>0</v>
      </c>
      <c r="BF53" s="943">
        <f t="shared" si="55"/>
        <v>0</v>
      </c>
      <c r="BG53" s="944">
        <f t="shared" si="6"/>
        <v>0</v>
      </c>
      <c r="BH53" s="945">
        <f t="shared" si="7"/>
        <v>0</v>
      </c>
      <c r="BI53" s="299"/>
      <c r="BL53" s="301"/>
      <c r="BM53" s="336">
        <f t="shared" si="56"/>
        <v>1935</v>
      </c>
      <c r="BN53" s="337">
        <f t="shared" si="39"/>
        <v>0</v>
      </c>
      <c r="BO53" s="337">
        <f>IF(BN53=0,0,BQ13-BP53)</f>
        <v>0</v>
      </c>
      <c r="BP53" s="337">
        <f t="shared" si="57"/>
        <v>0</v>
      </c>
      <c r="BQ53" s="337">
        <f>IF(BS52=0,0,PV(BQ9/12,MAX(0,BR53),-BQ13/12))</f>
        <v>0</v>
      </c>
      <c r="BR53" s="337">
        <f t="shared" si="58"/>
        <v>0</v>
      </c>
      <c r="BS53" s="943">
        <f t="shared" si="59"/>
        <v>0</v>
      </c>
      <c r="BT53" s="944">
        <f t="shared" si="8"/>
        <v>0</v>
      </c>
      <c r="BU53" s="945">
        <f t="shared" si="9"/>
        <v>0</v>
      </c>
      <c r="BV53" s="299"/>
    </row>
    <row r="54" spans="1:126" ht="15.75">
      <c r="A54" s="407"/>
      <c r="B54" s="404"/>
      <c r="C54" s="404" t="s">
        <v>1203</v>
      </c>
      <c r="D54" s="1294"/>
      <c r="E54" s="1295"/>
      <c r="F54" s="471" t="s">
        <v>1204</v>
      </c>
      <c r="G54" s="1078"/>
      <c r="H54" s="1078"/>
      <c r="I54" s="404"/>
      <c r="J54" s="404"/>
      <c r="K54" s="311"/>
      <c r="L54" s="340"/>
      <c r="N54" s="301"/>
      <c r="O54" s="336">
        <f t="shared" si="40"/>
        <v>1936</v>
      </c>
      <c r="P54" s="337">
        <f t="shared" si="35"/>
        <v>0</v>
      </c>
      <c r="Q54" s="337">
        <f>IF(P54=0,0,T13-R54)</f>
        <v>0</v>
      </c>
      <c r="R54" s="337">
        <f t="shared" si="41"/>
        <v>0</v>
      </c>
      <c r="S54" s="337">
        <f>IF(U53=0,0,PV(T9/12,MAX(0,T54),-T13/12))</f>
        <v>0</v>
      </c>
      <c r="T54" s="337">
        <f t="shared" si="42"/>
        <v>0</v>
      </c>
      <c r="U54" s="943">
        <f t="shared" si="43"/>
        <v>0</v>
      </c>
      <c r="V54" s="944">
        <f t="shared" si="0"/>
        <v>0</v>
      </c>
      <c r="W54" s="945">
        <f t="shared" si="1"/>
        <v>0</v>
      </c>
      <c r="X54" s="299"/>
      <c r="Z54" s="301"/>
      <c r="AA54" s="336">
        <f t="shared" si="44"/>
        <v>1936</v>
      </c>
      <c r="AB54" s="337">
        <f t="shared" si="36"/>
        <v>0</v>
      </c>
      <c r="AC54" s="337">
        <f>IF(AB54=0,0,AE13-AD54)</f>
        <v>0</v>
      </c>
      <c r="AD54" s="337">
        <f t="shared" si="45"/>
        <v>0</v>
      </c>
      <c r="AE54" s="337">
        <f>IF(AG53=0,0,PV(AE9/12,MAX(0,AF54),-AE13/12))</f>
        <v>0</v>
      </c>
      <c r="AF54" s="337">
        <f t="shared" si="46"/>
        <v>0</v>
      </c>
      <c r="AG54" s="943">
        <f t="shared" si="47"/>
        <v>0</v>
      </c>
      <c r="AH54" s="944">
        <f t="shared" si="2"/>
        <v>0</v>
      </c>
      <c r="AI54" s="945">
        <f t="shared" si="3"/>
        <v>0</v>
      </c>
      <c r="AJ54" s="299"/>
      <c r="AL54" s="301"/>
      <c r="AM54" s="336">
        <f t="shared" si="48"/>
        <v>1936</v>
      </c>
      <c r="AN54" s="337">
        <f t="shared" si="37"/>
        <v>0</v>
      </c>
      <c r="AO54" s="337">
        <f>IF(AN54=0,0,AQ13-AP54)</f>
        <v>0</v>
      </c>
      <c r="AP54" s="337">
        <f t="shared" si="49"/>
        <v>0</v>
      </c>
      <c r="AQ54" s="337">
        <f>IF(AS53=0,0,PV(AQ9/12,MAX(0,AR54),-AQ13/12))</f>
        <v>0</v>
      </c>
      <c r="AR54" s="337">
        <f t="shared" si="50"/>
        <v>0</v>
      </c>
      <c r="AS54" s="943">
        <f t="shared" si="51"/>
        <v>0</v>
      </c>
      <c r="AT54" s="944">
        <f t="shared" si="4"/>
        <v>0</v>
      </c>
      <c r="AU54" s="945">
        <f t="shared" si="5"/>
        <v>0</v>
      </c>
      <c r="AV54" s="299"/>
      <c r="AY54" s="301"/>
      <c r="AZ54" s="336">
        <f t="shared" si="52"/>
        <v>1936</v>
      </c>
      <c r="BA54" s="337">
        <f t="shared" si="38"/>
        <v>0</v>
      </c>
      <c r="BB54" s="337">
        <f>IF(BA54=0,0,BD13-BC54)</f>
        <v>0</v>
      </c>
      <c r="BC54" s="337">
        <f t="shared" si="53"/>
        <v>0</v>
      </c>
      <c r="BD54" s="337">
        <f>IF(BF53=0,0,PV(BD9/12,MAX(0,BE54),-BD13/12))</f>
        <v>0</v>
      </c>
      <c r="BE54" s="337">
        <f t="shared" si="54"/>
        <v>0</v>
      </c>
      <c r="BF54" s="943">
        <f t="shared" si="55"/>
        <v>0</v>
      </c>
      <c r="BG54" s="944">
        <f t="shared" si="6"/>
        <v>0</v>
      </c>
      <c r="BH54" s="945">
        <f t="shared" si="7"/>
        <v>0</v>
      </c>
      <c r="BI54" s="299"/>
      <c r="BL54" s="301"/>
      <c r="BM54" s="336">
        <f t="shared" si="56"/>
        <v>1936</v>
      </c>
      <c r="BN54" s="337">
        <f t="shared" si="39"/>
        <v>0</v>
      </c>
      <c r="BO54" s="337">
        <f>IF(BN54=0,0,BQ13-BP54)</f>
        <v>0</v>
      </c>
      <c r="BP54" s="337">
        <f t="shared" si="57"/>
        <v>0</v>
      </c>
      <c r="BQ54" s="337">
        <f>IF(BS53=0,0,PV(BQ9/12,MAX(0,BR54),-BQ13/12))</f>
        <v>0</v>
      </c>
      <c r="BR54" s="337">
        <f t="shared" si="58"/>
        <v>0</v>
      </c>
      <c r="BS54" s="943">
        <f t="shared" si="59"/>
        <v>0</v>
      </c>
      <c r="BT54" s="944">
        <f t="shared" si="8"/>
        <v>0</v>
      </c>
      <c r="BU54" s="945">
        <f t="shared" si="9"/>
        <v>0</v>
      </c>
      <c r="BV54" s="299"/>
    </row>
    <row r="55" spans="1:126" ht="16.5" thickBot="1">
      <c r="A55" s="1057"/>
      <c r="B55" s="1058"/>
      <c r="C55" s="1059"/>
      <c r="D55" s="1059"/>
      <c r="E55" s="1059"/>
      <c r="F55" s="1059"/>
      <c r="G55" s="1059"/>
      <c r="H55" s="1059"/>
      <c r="I55" s="1059"/>
      <c r="J55" s="1059"/>
      <c r="K55" s="356"/>
      <c r="L55" s="357"/>
      <c r="N55" s="301"/>
      <c r="O55" s="336">
        <f t="shared" si="40"/>
        <v>1937</v>
      </c>
      <c r="P55" s="337">
        <f t="shared" si="35"/>
        <v>0</v>
      </c>
      <c r="Q55" s="337">
        <f>IF(P55=0,0,T13-R55)</f>
        <v>0</v>
      </c>
      <c r="R55" s="337">
        <f t="shared" si="41"/>
        <v>0</v>
      </c>
      <c r="S55" s="337">
        <f>IF(U54=0,0,PV(T9/12,MAX(0,T55),-T13/12))</f>
        <v>0</v>
      </c>
      <c r="T55" s="337">
        <f t="shared" si="42"/>
        <v>0</v>
      </c>
      <c r="U55" s="943">
        <f t="shared" si="43"/>
        <v>0</v>
      </c>
      <c r="V55" s="944">
        <f t="shared" si="0"/>
        <v>0</v>
      </c>
      <c r="W55" s="945">
        <f t="shared" si="1"/>
        <v>0</v>
      </c>
      <c r="X55" s="299"/>
      <c r="Z55" s="301"/>
      <c r="AA55" s="336">
        <f t="shared" si="44"/>
        <v>1937</v>
      </c>
      <c r="AB55" s="337">
        <f t="shared" si="36"/>
        <v>0</v>
      </c>
      <c r="AC55" s="337">
        <f>IF(AB55=0,0,AE13-AD55)</f>
        <v>0</v>
      </c>
      <c r="AD55" s="337">
        <f t="shared" si="45"/>
        <v>0</v>
      </c>
      <c r="AE55" s="337">
        <f>IF(AG54=0,0,PV(AE9/12,MAX(0,AF55),-AE13/12))</f>
        <v>0</v>
      </c>
      <c r="AF55" s="337">
        <f t="shared" si="46"/>
        <v>0</v>
      </c>
      <c r="AG55" s="943">
        <f t="shared" si="47"/>
        <v>0</v>
      </c>
      <c r="AH55" s="944">
        <f t="shared" si="2"/>
        <v>0</v>
      </c>
      <c r="AI55" s="945">
        <f t="shared" si="3"/>
        <v>0</v>
      </c>
      <c r="AJ55" s="299"/>
      <c r="AL55" s="301"/>
      <c r="AM55" s="336">
        <f t="shared" si="48"/>
        <v>1937</v>
      </c>
      <c r="AN55" s="337">
        <f t="shared" si="37"/>
        <v>0</v>
      </c>
      <c r="AO55" s="337">
        <f>IF(AN55=0,0,AQ13-AP55)</f>
        <v>0</v>
      </c>
      <c r="AP55" s="337">
        <f t="shared" si="49"/>
        <v>0</v>
      </c>
      <c r="AQ55" s="337">
        <f>IF(AS54=0,0,PV(AQ9/12,MAX(0,AR55),-AQ13/12))</f>
        <v>0</v>
      </c>
      <c r="AR55" s="337">
        <f t="shared" si="50"/>
        <v>0</v>
      </c>
      <c r="AS55" s="943">
        <f t="shared" si="51"/>
        <v>0</v>
      </c>
      <c r="AT55" s="944">
        <f t="shared" si="4"/>
        <v>0</v>
      </c>
      <c r="AU55" s="945">
        <f t="shared" si="5"/>
        <v>0</v>
      </c>
      <c r="AV55" s="299"/>
      <c r="AY55" s="301"/>
      <c r="AZ55" s="336">
        <f t="shared" si="52"/>
        <v>1937</v>
      </c>
      <c r="BA55" s="337">
        <f t="shared" si="38"/>
        <v>0</v>
      </c>
      <c r="BB55" s="337">
        <f>IF(BA55=0,0,BD13-BC55)</f>
        <v>0</v>
      </c>
      <c r="BC55" s="337">
        <f t="shared" si="53"/>
        <v>0</v>
      </c>
      <c r="BD55" s="337">
        <f>IF(BF54=0,0,PV(BD9/12,MAX(0,BE55),-BD13/12))</f>
        <v>0</v>
      </c>
      <c r="BE55" s="337">
        <f t="shared" si="54"/>
        <v>0</v>
      </c>
      <c r="BF55" s="943">
        <f t="shared" si="55"/>
        <v>0</v>
      </c>
      <c r="BG55" s="944">
        <f t="shared" si="6"/>
        <v>0</v>
      </c>
      <c r="BH55" s="945">
        <f t="shared" si="7"/>
        <v>0</v>
      </c>
      <c r="BI55" s="299"/>
      <c r="BL55" s="301"/>
      <c r="BM55" s="336">
        <f t="shared" si="56"/>
        <v>1937</v>
      </c>
      <c r="BN55" s="337">
        <f t="shared" si="39"/>
        <v>0</v>
      </c>
      <c r="BO55" s="337">
        <f>IF(BN55=0,0,BQ13-BP55)</f>
        <v>0</v>
      </c>
      <c r="BP55" s="337">
        <f t="shared" si="57"/>
        <v>0</v>
      </c>
      <c r="BQ55" s="337">
        <f>IF(BS54=0,0,PV(BQ9/12,MAX(0,BR55),-BQ13/12))</f>
        <v>0</v>
      </c>
      <c r="BR55" s="337">
        <f t="shared" si="58"/>
        <v>0</v>
      </c>
      <c r="BS55" s="943">
        <f t="shared" si="59"/>
        <v>0</v>
      </c>
      <c r="BT55" s="944">
        <f t="shared" si="8"/>
        <v>0</v>
      </c>
      <c r="BU55" s="945">
        <f t="shared" si="9"/>
        <v>0</v>
      </c>
      <c r="BV55" s="299"/>
    </row>
    <row r="56" spans="1:126" s="358" customFormat="1" ht="15.75">
      <c r="A56" s="256"/>
      <c r="B56" s="136">
        <f>PROJNAME</f>
        <v>0</v>
      </c>
      <c r="C56" s="256"/>
      <c r="D56" s="256"/>
      <c r="E56" s="256"/>
      <c r="F56" s="256"/>
      <c r="G56" s="256"/>
      <c r="H56" s="415" t="e">
        <f>'1. Description'!$G$59</f>
        <v>#VALUE!</v>
      </c>
      <c r="I56" s="415"/>
      <c r="J56" s="415" t="e">
        <f>'1. Description'!$H$59</f>
        <v>#VALUE!</v>
      </c>
      <c r="K56" s="415"/>
      <c r="L56" s="256"/>
      <c r="N56" s="301"/>
      <c r="O56" s="336">
        <f t="shared" si="40"/>
        <v>1938</v>
      </c>
      <c r="P56" s="337">
        <f t="shared" si="35"/>
        <v>0</v>
      </c>
      <c r="Q56" s="337">
        <f>IF(P56=0,0,T13-R56)</f>
        <v>0</v>
      </c>
      <c r="R56" s="337">
        <f t="shared" si="41"/>
        <v>0</v>
      </c>
      <c r="S56" s="337">
        <f>IF(U55=0,0,PV(T9/12,MAX(0,T56),-T13/12))</f>
        <v>0</v>
      </c>
      <c r="T56" s="337">
        <f t="shared" si="42"/>
        <v>0</v>
      </c>
      <c r="U56" s="943">
        <f t="shared" si="43"/>
        <v>0</v>
      </c>
      <c r="V56" s="944">
        <f t="shared" si="0"/>
        <v>0</v>
      </c>
      <c r="W56" s="945">
        <f t="shared" si="1"/>
        <v>0</v>
      </c>
      <c r="X56" s="299"/>
      <c r="Z56" s="301"/>
      <c r="AA56" s="336">
        <f t="shared" si="44"/>
        <v>1938</v>
      </c>
      <c r="AB56" s="337">
        <f t="shared" si="36"/>
        <v>0</v>
      </c>
      <c r="AC56" s="337">
        <f>IF(AB56=0,0,AE13-AD56)</f>
        <v>0</v>
      </c>
      <c r="AD56" s="337">
        <f t="shared" si="45"/>
        <v>0</v>
      </c>
      <c r="AE56" s="337">
        <f>IF(AG55=0,0,PV(AE9/12,MAX(0,AF56),-AE13/12))</f>
        <v>0</v>
      </c>
      <c r="AF56" s="337">
        <f t="shared" si="46"/>
        <v>0</v>
      </c>
      <c r="AG56" s="943">
        <f t="shared" si="47"/>
        <v>0</v>
      </c>
      <c r="AH56" s="944">
        <f t="shared" si="2"/>
        <v>0</v>
      </c>
      <c r="AI56" s="945">
        <f t="shared" si="3"/>
        <v>0</v>
      </c>
      <c r="AJ56" s="299"/>
      <c r="AL56" s="301"/>
      <c r="AM56" s="336">
        <f t="shared" si="48"/>
        <v>1938</v>
      </c>
      <c r="AN56" s="337">
        <f t="shared" si="37"/>
        <v>0</v>
      </c>
      <c r="AO56" s="337">
        <f>IF(AN56=0,0,AQ13-AP56)</f>
        <v>0</v>
      </c>
      <c r="AP56" s="337">
        <f t="shared" si="49"/>
        <v>0</v>
      </c>
      <c r="AQ56" s="337">
        <f>IF(AS55=0,0,PV(AQ9/12,MAX(0,AR56),-AQ13/12))</f>
        <v>0</v>
      </c>
      <c r="AR56" s="337">
        <f t="shared" si="50"/>
        <v>0</v>
      </c>
      <c r="AS56" s="943">
        <f t="shared" si="51"/>
        <v>0</v>
      </c>
      <c r="AT56" s="944">
        <f t="shared" si="4"/>
        <v>0</v>
      </c>
      <c r="AU56" s="945">
        <f t="shared" si="5"/>
        <v>0</v>
      </c>
      <c r="AV56" s="299"/>
      <c r="AY56" s="301"/>
      <c r="AZ56" s="336">
        <f t="shared" si="52"/>
        <v>1938</v>
      </c>
      <c r="BA56" s="337">
        <f t="shared" si="38"/>
        <v>0</v>
      </c>
      <c r="BB56" s="337">
        <f>IF(BA56=0,0,BD13-BC56)</f>
        <v>0</v>
      </c>
      <c r="BC56" s="337">
        <f t="shared" si="53"/>
        <v>0</v>
      </c>
      <c r="BD56" s="337">
        <f>IF(BF55=0,0,PV(BD9/12,MAX(0,BE56),-BD13/12))</f>
        <v>0</v>
      </c>
      <c r="BE56" s="337">
        <f t="shared" si="54"/>
        <v>0</v>
      </c>
      <c r="BF56" s="943">
        <f t="shared" si="55"/>
        <v>0</v>
      </c>
      <c r="BG56" s="944">
        <f t="shared" si="6"/>
        <v>0</v>
      </c>
      <c r="BH56" s="945">
        <f t="shared" si="7"/>
        <v>0</v>
      </c>
      <c r="BI56" s="299"/>
      <c r="BL56" s="301"/>
      <c r="BM56" s="336">
        <f t="shared" si="56"/>
        <v>1938</v>
      </c>
      <c r="BN56" s="337">
        <f t="shared" si="39"/>
        <v>0</v>
      </c>
      <c r="BO56" s="337">
        <f>IF(BN56=0,0,BQ13-BP56)</f>
        <v>0</v>
      </c>
      <c r="BP56" s="337">
        <f t="shared" si="57"/>
        <v>0</v>
      </c>
      <c r="BQ56" s="337">
        <f>IF(BS55=0,0,PV(BQ9/12,MAX(0,BR56),-BQ13/12))</f>
        <v>0</v>
      </c>
      <c r="BR56" s="337">
        <f t="shared" si="58"/>
        <v>0</v>
      </c>
      <c r="BS56" s="943">
        <f t="shared" si="59"/>
        <v>0</v>
      </c>
      <c r="BT56" s="944">
        <f t="shared" si="8"/>
        <v>0</v>
      </c>
      <c r="BU56" s="945">
        <f t="shared" si="9"/>
        <v>0</v>
      </c>
      <c r="BV56" s="299"/>
      <c r="BY56" s="103"/>
      <c r="BZ56" s="103"/>
      <c r="CA56" s="103"/>
      <c r="CB56" s="103"/>
      <c r="CC56" s="103"/>
      <c r="CD56" s="103"/>
      <c r="CE56" s="103"/>
      <c r="CF56" s="103"/>
      <c r="CG56" s="103"/>
    </row>
    <row r="57" spans="1:126" ht="16.5" thickBot="1">
      <c r="A57" s="471" t="s">
        <v>1205</v>
      </c>
      <c r="B57" s="404"/>
      <c r="C57" s="471"/>
      <c r="D57" s="405"/>
      <c r="E57" s="405"/>
      <c r="F57" s="405"/>
      <c r="G57" s="405"/>
      <c r="H57" s="405"/>
      <c r="I57" s="405"/>
      <c r="J57" s="471" t="s">
        <v>1206</v>
      </c>
      <c r="K57" s="272"/>
      <c r="L57" s="250"/>
      <c r="N57" s="301"/>
      <c r="O57" s="336">
        <f t="shared" si="40"/>
        <v>1939</v>
      </c>
      <c r="P57" s="337">
        <f t="shared" si="35"/>
        <v>0</v>
      </c>
      <c r="Q57" s="337">
        <f>IF(P57=0,0,T13-R57)</f>
        <v>0</v>
      </c>
      <c r="R57" s="337">
        <f t="shared" si="41"/>
        <v>0</v>
      </c>
      <c r="S57" s="337">
        <f>IF(U56=0,0,PV(T9/12,MAX(0,T57),-T13/12))</f>
        <v>0</v>
      </c>
      <c r="T57" s="337">
        <f t="shared" si="42"/>
        <v>0</v>
      </c>
      <c r="U57" s="943">
        <f t="shared" si="43"/>
        <v>0</v>
      </c>
      <c r="V57" s="944">
        <f t="shared" si="0"/>
        <v>0</v>
      </c>
      <c r="W57" s="945">
        <f t="shared" si="1"/>
        <v>0</v>
      </c>
      <c r="X57" s="299"/>
      <c r="Z57" s="301"/>
      <c r="AA57" s="336">
        <f t="shared" si="44"/>
        <v>1939</v>
      </c>
      <c r="AB57" s="337">
        <f t="shared" si="36"/>
        <v>0</v>
      </c>
      <c r="AC57" s="337">
        <f>IF(AB57=0,0,AE13-AD57)</f>
        <v>0</v>
      </c>
      <c r="AD57" s="337">
        <f t="shared" si="45"/>
        <v>0</v>
      </c>
      <c r="AE57" s="337">
        <f>IF(AG56=0,0,PV(AE9/12,MAX(0,AF57),-AE13/12))</f>
        <v>0</v>
      </c>
      <c r="AF57" s="337">
        <f t="shared" si="46"/>
        <v>0</v>
      </c>
      <c r="AG57" s="943">
        <f t="shared" si="47"/>
        <v>0</v>
      </c>
      <c r="AH57" s="944">
        <f t="shared" si="2"/>
        <v>0</v>
      </c>
      <c r="AI57" s="945">
        <f t="shared" si="3"/>
        <v>0</v>
      </c>
      <c r="AJ57" s="299"/>
      <c r="AL57" s="301"/>
      <c r="AM57" s="336">
        <f t="shared" si="48"/>
        <v>1939</v>
      </c>
      <c r="AN57" s="337">
        <f t="shared" si="37"/>
        <v>0</v>
      </c>
      <c r="AO57" s="337">
        <f>IF(AN57=0,0,AQ13-AP57)</f>
        <v>0</v>
      </c>
      <c r="AP57" s="337">
        <f t="shared" si="49"/>
        <v>0</v>
      </c>
      <c r="AQ57" s="337">
        <f>IF(AS56=0,0,PV(AQ9/12,MAX(0,AR57),-AQ13/12))</f>
        <v>0</v>
      </c>
      <c r="AR57" s="337">
        <f t="shared" si="50"/>
        <v>0</v>
      </c>
      <c r="AS57" s="943">
        <f t="shared" si="51"/>
        <v>0</v>
      </c>
      <c r="AT57" s="944">
        <f t="shared" si="4"/>
        <v>0</v>
      </c>
      <c r="AU57" s="945">
        <f t="shared" si="5"/>
        <v>0</v>
      </c>
      <c r="AV57" s="299"/>
      <c r="AY57" s="301"/>
      <c r="AZ57" s="336">
        <f t="shared" si="52"/>
        <v>1939</v>
      </c>
      <c r="BA57" s="337">
        <f t="shared" si="38"/>
        <v>0</v>
      </c>
      <c r="BB57" s="337">
        <f>IF(BA57=0,0,BD13-BC57)</f>
        <v>0</v>
      </c>
      <c r="BC57" s="337">
        <f t="shared" si="53"/>
        <v>0</v>
      </c>
      <c r="BD57" s="337">
        <f>IF(BF56=0,0,PV(BD9/12,MAX(0,BE57),-BD13/12))</f>
        <v>0</v>
      </c>
      <c r="BE57" s="337">
        <f t="shared" si="54"/>
        <v>0</v>
      </c>
      <c r="BF57" s="943">
        <f t="shared" si="55"/>
        <v>0</v>
      </c>
      <c r="BG57" s="944">
        <f t="shared" si="6"/>
        <v>0</v>
      </c>
      <c r="BH57" s="945">
        <f t="shared" si="7"/>
        <v>0</v>
      </c>
      <c r="BI57" s="299"/>
      <c r="BL57" s="301"/>
      <c r="BM57" s="336">
        <f t="shared" si="56"/>
        <v>1939</v>
      </c>
      <c r="BN57" s="337">
        <f t="shared" si="39"/>
        <v>0</v>
      </c>
      <c r="BO57" s="337">
        <f>IF(BN57=0,0,BQ13-BP57)</f>
        <v>0</v>
      </c>
      <c r="BP57" s="337">
        <f t="shared" si="57"/>
        <v>0</v>
      </c>
      <c r="BQ57" s="337">
        <f>IF(BS56=0,0,PV(BQ9/12,MAX(0,BR57),-BQ13/12))</f>
        <v>0</v>
      </c>
      <c r="BR57" s="337">
        <f t="shared" si="58"/>
        <v>0</v>
      </c>
      <c r="BS57" s="943">
        <f t="shared" si="59"/>
        <v>0</v>
      </c>
      <c r="BT57" s="944">
        <f t="shared" si="8"/>
        <v>0</v>
      </c>
      <c r="BU57" s="945">
        <f t="shared" si="9"/>
        <v>0</v>
      </c>
      <c r="BV57" s="299"/>
    </row>
    <row r="58" spans="1:126" ht="19.5" thickBot="1">
      <c r="A58" s="1090"/>
      <c r="B58" s="1091"/>
      <c r="C58" s="1092" t="s">
        <v>1207</v>
      </c>
      <c r="D58" s="1093"/>
      <c r="E58" s="1093"/>
      <c r="F58" s="1093"/>
      <c r="G58" s="1093"/>
      <c r="H58" s="1093"/>
      <c r="I58" s="1093"/>
      <c r="J58" s="1093"/>
      <c r="K58" s="361"/>
      <c r="L58" s="362"/>
      <c r="N58" s="301"/>
      <c r="O58" s="336">
        <f t="shared" si="40"/>
        <v>1940</v>
      </c>
      <c r="P58" s="337">
        <f t="shared" si="35"/>
        <v>0</v>
      </c>
      <c r="Q58" s="337">
        <f>IF(P58=0,0,T13-R58)</f>
        <v>0</v>
      </c>
      <c r="R58" s="337">
        <f t="shared" si="41"/>
        <v>0</v>
      </c>
      <c r="S58" s="337">
        <f>IF(U57=0,0,PV(T9/12,MAX(0,T58),-T13/12))</f>
        <v>0</v>
      </c>
      <c r="T58" s="337">
        <f t="shared" si="42"/>
        <v>0</v>
      </c>
      <c r="U58" s="943">
        <f t="shared" si="43"/>
        <v>0</v>
      </c>
      <c r="V58" s="944">
        <f t="shared" si="0"/>
        <v>0</v>
      </c>
      <c r="W58" s="945">
        <f t="shared" si="1"/>
        <v>0</v>
      </c>
      <c r="X58" s="299"/>
      <c r="Z58" s="301"/>
      <c r="AA58" s="336">
        <f t="shared" si="44"/>
        <v>1940</v>
      </c>
      <c r="AB58" s="337">
        <f t="shared" si="36"/>
        <v>0</v>
      </c>
      <c r="AC58" s="337">
        <f>IF(AB58=0,0,AE13-AD58)</f>
        <v>0</v>
      </c>
      <c r="AD58" s="337">
        <f t="shared" si="45"/>
        <v>0</v>
      </c>
      <c r="AE58" s="337">
        <f>IF(AG57=0,0,PV(AE9/12,MAX(0,AF58),-AE13/12))</f>
        <v>0</v>
      </c>
      <c r="AF58" s="337">
        <f t="shared" si="46"/>
        <v>0</v>
      </c>
      <c r="AG58" s="943">
        <f t="shared" si="47"/>
        <v>0</v>
      </c>
      <c r="AH58" s="944">
        <f t="shared" si="2"/>
        <v>0</v>
      </c>
      <c r="AI58" s="945">
        <f t="shared" si="3"/>
        <v>0</v>
      </c>
      <c r="AJ58" s="299"/>
      <c r="AL58" s="301"/>
      <c r="AM58" s="336">
        <f t="shared" si="48"/>
        <v>1940</v>
      </c>
      <c r="AN58" s="337">
        <f t="shared" si="37"/>
        <v>0</v>
      </c>
      <c r="AO58" s="337">
        <f>IF(AN58=0,0,AQ13-AP58)</f>
        <v>0</v>
      </c>
      <c r="AP58" s="337">
        <f t="shared" si="49"/>
        <v>0</v>
      </c>
      <c r="AQ58" s="337">
        <f>IF(AS57=0,0,PV(AQ9/12,MAX(0,AR58),-AQ13/12))</f>
        <v>0</v>
      </c>
      <c r="AR58" s="337">
        <f t="shared" si="50"/>
        <v>0</v>
      </c>
      <c r="AS58" s="943">
        <f t="shared" si="51"/>
        <v>0</v>
      </c>
      <c r="AT58" s="944">
        <f t="shared" si="4"/>
        <v>0</v>
      </c>
      <c r="AU58" s="945">
        <f t="shared" si="5"/>
        <v>0</v>
      </c>
      <c r="AV58" s="299"/>
      <c r="AY58" s="301"/>
      <c r="AZ58" s="336">
        <f t="shared" si="52"/>
        <v>1940</v>
      </c>
      <c r="BA58" s="337">
        <f t="shared" si="38"/>
        <v>0</v>
      </c>
      <c r="BB58" s="337">
        <f>IF(BA58=0,0,BD13-BC58)</f>
        <v>0</v>
      </c>
      <c r="BC58" s="337">
        <f t="shared" si="53"/>
        <v>0</v>
      </c>
      <c r="BD58" s="337">
        <f>IF(BF57=0,0,PV(BD9/12,MAX(0,BE58),-BD13/12))</f>
        <v>0</v>
      </c>
      <c r="BE58" s="337">
        <f t="shared" si="54"/>
        <v>0</v>
      </c>
      <c r="BF58" s="943">
        <f t="shared" si="55"/>
        <v>0</v>
      </c>
      <c r="BG58" s="944">
        <f t="shared" si="6"/>
        <v>0</v>
      </c>
      <c r="BH58" s="945">
        <f t="shared" si="7"/>
        <v>0</v>
      </c>
      <c r="BI58" s="299"/>
      <c r="BL58" s="301"/>
      <c r="BM58" s="336">
        <f t="shared" si="56"/>
        <v>1940</v>
      </c>
      <c r="BN58" s="337">
        <f t="shared" si="39"/>
        <v>0</v>
      </c>
      <c r="BO58" s="337">
        <f>IF(BN58=0,0,BQ13-BP58)</f>
        <v>0</v>
      </c>
      <c r="BP58" s="337">
        <f t="shared" si="57"/>
        <v>0</v>
      </c>
      <c r="BQ58" s="337">
        <f>IF(BS57=0,0,PV(BQ9/12,MAX(0,BR58),-BQ13/12))</f>
        <v>0</v>
      </c>
      <c r="BR58" s="337">
        <f t="shared" si="58"/>
        <v>0</v>
      </c>
      <c r="BS58" s="943">
        <f t="shared" si="59"/>
        <v>0</v>
      </c>
      <c r="BT58" s="944">
        <f t="shared" si="8"/>
        <v>0</v>
      </c>
      <c r="BU58" s="945">
        <f t="shared" si="9"/>
        <v>0</v>
      </c>
      <c r="BV58" s="299"/>
    </row>
    <row r="59" spans="1:126" ht="15.75" customHeight="1" thickTop="1" thickBot="1">
      <c r="A59" s="407"/>
      <c r="B59" s="404"/>
      <c r="C59" s="1056"/>
      <c r="D59" s="775"/>
      <c r="E59" s="363" t="s">
        <v>236</v>
      </c>
      <c r="F59" s="775"/>
      <c r="G59" s="775"/>
      <c r="H59" s="775"/>
      <c r="I59" s="775"/>
      <c r="J59" s="775"/>
      <c r="K59" s="250"/>
      <c r="L59" s="335"/>
      <c r="N59" s="366"/>
      <c r="O59" s="364"/>
      <c r="P59" s="364"/>
      <c r="Q59" s="364"/>
      <c r="R59" s="364"/>
      <c r="S59" s="364"/>
      <c r="T59" s="364"/>
      <c r="U59" s="946"/>
      <c r="V59" s="946"/>
      <c r="W59" s="946"/>
      <c r="X59" s="365"/>
      <c r="Y59" s="345"/>
      <c r="Z59" s="366"/>
      <c r="AA59" s="364"/>
      <c r="AB59" s="364"/>
      <c r="AC59" s="364"/>
      <c r="AD59" s="364"/>
      <c r="AE59" s="364"/>
      <c r="AF59" s="364"/>
      <c r="AG59" s="946"/>
      <c r="AH59" s="946"/>
      <c r="AI59" s="946"/>
      <c r="AJ59" s="365"/>
      <c r="AK59" s="300"/>
      <c r="AL59" s="366"/>
      <c r="AM59" s="364"/>
      <c r="AN59" s="364"/>
      <c r="AO59" s="364"/>
      <c r="AP59" s="364"/>
      <c r="AQ59" s="364"/>
      <c r="AR59" s="364"/>
      <c r="AS59" s="946"/>
      <c r="AT59" s="946"/>
      <c r="AU59" s="946"/>
      <c r="AV59" s="365"/>
      <c r="AW59" s="300"/>
      <c r="AX59" s="300"/>
      <c r="AY59" s="366"/>
      <c r="AZ59" s="364"/>
      <c r="BA59" s="364"/>
      <c r="BB59" s="364"/>
      <c r="BC59" s="364"/>
      <c r="BD59" s="364"/>
      <c r="BE59" s="364"/>
      <c r="BF59" s="946"/>
      <c r="BG59" s="946"/>
      <c r="BH59" s="946"/>
      <c r="BI59" s="365"/>
      <c r="BJ59" s="300"/>
      <c r="BK59" s="300"/>
      <c r="BL59" s="366"/>
      <c r="BM59" s="364"/>
      <c r="BN59" s="364"/>
      <c r="BO59" s="364"/>
      <c r="BP59" s="364"/>
      <c r="BQ59" s="364"/>
      <c r="BR59" s="364"/>
      <c r="BS59" s="946"/>
      <c r="BT59" s="946"/>
      <c r="BU59" s="946"/>
      <c r="BV59" s="365"/>
    </row>
    <row r="60" spans="1:126" ht="15.75" customHeight="1">
      <c r="A60" s="407"/>
      <c r="B60" s="404"/>
      <c r="C60" s="214" t="s">
        <v>1208</v>
      </c>
      <c r="D60" s="405"/>
      <c r="E60" s="367" t="s">
        <v>322</v>
      </c>
      <c r="F60" s="405"/>
      <c r="G60" s="405"/>
      <c r="H60" s="1094"/>
      <c r="I60" s="405"/>
      <c r="J60" s="405"/>
      <c r="K60" s="304"/>
      <c r="L60" s="306"/>
      <c r="X60" s="300"/>
      <c r="Y60" s="345"/>
      <c r="AJ60" s="300"/>
      <c r="AK60" s="300"/>
      <c r="AW60" s="300"/>
      <c r="AX60" s="300"/>
      <c r="BJ60" s="300"/>
      <c r="BK60" s="300"/>
    </row>
    <row r="61" spans="1:126" s="84" customFormat="1" ht="15.75">
      <c r="A61" s="407">
        <f>A52+1</f>
        <v>105</v>
      </c>
      <c r="B61" s="404" t="s">
        <v>636</v>
      </c>
      <c r="C61" s="211" t="s">
        <v>1209</v>
      </c>
      <c r="D61" s="211"/>
      <c r="E61" s="1296"/>
      <c r="F61" s="1295"/>
      <c r="G61" s="1300"/>
      <c r="H61" s="1301"/>
      <c r="I61" s="1301"/>
      <c r="J61" s="1302"/>
      <c r="K61" s="873"/>
      <c r="L61" s="323"/>
      <c r="N61" s="368"/>
      <c r="O61" s="368"/>
      <c r="P61" s="736"/>
      <c r="Q61" s="804"/>
      <c r="R61" s="804"/>
      <c r="S61" s="804"/>
      <c r="T61" s="804"/>
      <c r="U61" s="804"/>
      <c r="V61" s="805"/>
      <c r="W61" s="805"/>
      <c r="X61" s="315"/>
      <c r="Y61" s="345"/>
      <c r="Z61" s="370"/>
      <c r="AA61" s="369"/>
      <c r="AB61" s="315"/>
      <c r="AC61" s="315"/>
      <c r="AD61" s="315"/>
      <c r="AE61" s="315"/>
      <c r="AF61" s="315"/>
      <c r="AG61" s="315"/>
      <c r="AH61" s="315"/>
      <c r="AI61" s="315"/>
      <c r="AJ61" s="315"/>
      <c r="AK61" s="315"/>
      <c r="AL61" s="315"/>
      <c r="AM61" s="369"/>
      <c r="AN61" s="315"/>
      <c r="AO61" s="315"/>
      <c r="AP61" s="315"/>
      <c r="AQ61" s="315"/>
      <c r="AR61" s="315"/>
      <c r="AS61" s="315"/>
      <c r="AT61" s="315"/>
      <c r="AU61" s="315"/>
      <c r="AV61" s="315"/>
      <c r="AW61" s="315"/>
      <c r="AX61" s="315"/>
      <c r="AY61" s="315"/>
      <c r="AZ61" s="369"/>
      <c r="BA61" s="315"/>
      <c r="BB61" s="315"/>
      <c r="BC61" s="315"/>
      <c r="BD61" s="315"/>
      <c r="BE61" s="315"/>
      <c r="BF61" s="941"/>
      <c r="BG61" s="941"/>
      <c r="BH61" s="941"/>
      <c r="BI61" s="315"/>
      <c r="BJ61" s="315"/>
      <c r="BK61" s="315"/>
      <c r="BL61" s="315"/>
      <c r="BM61" s="369"/>
      <c r="BN61" s="315"/>
      <c r="BO61" s="315"/>
      <c r="BP61" s="315"/>
      <c r="BQ61" s="315"/>
      <c r="BR61" s="315"/>
      <c r="BS61" s="941"/>
      <c r="BT61" s="941"/>
      <c r="BU61" s="941"/>
      <c r="BV61" s="315"/>
      <c r="BW61" s="315"/>
      <c r="BX61" s="315"/>
      <c r="BY61" s="315"/>
      <c r="BZ61" s="315"/>
      <c r="CA61" s="315"/>
      <c r="CB61" s="315"/>
      <c r="CC61" s="315"/>
      <c r="CD61" s="315"/>
      <c r="CE61" s="315"/>
      <c r="CF61" s="315"/>
      <c r="CG61" s="315"/>
      <c r="CH61" s="315"/>
      <c r="CI61" s="315"/>
      <c r="CJ61" s="315"/>
      <c r="CK61" s="315"/>
      <c r="CL61" s="315"/>
      <c r="CM61" s="315"/>
      <c r="CN61" s="315"/>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5"/>
      <c r="DL61" s="315"/>
      <c r="DM61" s="315"/>
      <c r="DN61" s="315"/>
      <c r="DO61" s="315"/>
      <c r="DP61" s="315"/>
      <c r="DQ61" s="315"/>
      <c r="DR61" s="315"/>
      <c r="DS61" s="315"/>
      <c r="DT61" s="315"/>
      <c r="DU61" s="315"/>
      <c r="DV61" s="315"/>
    </row>
    <row r="62" spans="1:126" s="84" customFormat="1" ht="15.75">
      <c r="A62" s="407"/>
      <c r="B62" s="404"/>
      <c r="C62" s="775"/>
      <c r="D62" s="775"/>
      <c r="E62" s="1095" t="s">
        <v>1112</v>
      </c>
      <c r="F62" s="1096"/>
      <c r="G62" s="1095" t="s">
        <v>234</v>
      </c>
      <c r="H62" s="1096"/>
      <c r="I62" s="1096"/>
      <c r="J62" s="1096"/>
      <c r="K62" s="371"/>
      <c r="L62" s="335"/>
      <c r="P62" s="804"/>
      <c r="Q62" s="804"/>
      <c r="R62" s="804"/>
      <c r="S62" s="804"/>
      <c r="T62" s="804"/>
      <c r="U62" s="804"/>
      <c r="V62" s="805"/>
      <c r="W62" s="805"/>
      <c r="X62" s="315"/>
      <c r="Y62" s="34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941"/>
      <c r="BG62" s="941"/>
      <c r="BH62" s="941"/>
      <c r="BI62" s="315"/>
      <c r="BJ62" s="315"/>
      <c r="BK62" s="315"/>
      <c r="BL62" s="315"/>
      <c r="BM62" s="315"/>
      <c r="BN62" s="315"/>
      <c r="BO62" s="315"/>
      <c r="BP62" s="315"/>
      <c r="BQ62" s="315"/>
      <c r="BR62" s="315"/>
      <c r="BS62" s="941"/>
      <c r="BT62" s="941"/>
      <c r="BU62" s="941"/>
      <c r="BV62" s="315"/>
      <c r="BW62" s="315"/>
      <c r="BX62" s="315"/>
      <c r="BY62" s="315"/>
      <c r="BZ62" s="315"/>
      <c r="CA62" s="315"/>
      <c r="CB62" s="315"/>
      <c r="CC62" s="315"/>
      <c r="CD62" s="315"/>
      <c r="CE62" s="315"/>
      <c r="CF62" s="315"/>
      <c r="CG62" s="315"/>
      <c r="CH62" s="315"/>
      <c r="CI62" s="315"/>
      <c r="CJ62" s="315"/>
      <c r="CK62" s="315"/>
      <c r="CL62" s="315"/>
      <c r="CM62" s="315"/>
      <c r="CN62" s="315"/>
      <c r="CO62" s="315"/>
      <c r="CP62" s="315"/>
      <c r="CQ62" s="315"/>
      <c r="CR62" s="315"/>
      <c r="CS62" s="315"/>
      <c r="CT62" s="315"/>
      <c r="CU62" s="315"/>
      <c r="CV62" s="315"/>
      <c r="CW62" s="315"/>
      <c r="CX62" s="315"/>
      <c r="CY62" s="315"/>
      <c r="CZ62" s="315"/>
      <c r="DA62" s="315"/>
      <c r="DB62" s="315"/>
      <c r="DC62" s="315"/>
      <c r="DD62" s="315"/>
      <c r="DE62" s="315"/>
      <c r="DF62" s="315"/>
      <c r="DG62" s="315"/>
      <c r="DH62" s="315"/>
      <c r="DI62" s="315"/>
      <c r="DJ62" s="315"/>
      <c r="DK62" s="315"/>
      <c r="DL62" s="315"/>
      <c r="DM62" s="315"/>
      <c r="DN62" s="315"/>
      <c r="DO62" s="315"/>
      <c r="DP62" s="315"/>
      <c r="DQ62" s="315"/>
      <c r="DR62" s="315"/>
      <c r="DS62" s="315"/>
      <c r="DT62" s="315"/>
      <c r="DU62" s="315"/>
      <c r="DV62" s="315"/>
    </row>
    <row r="63" spans="1:126" s="101" customFormat="1" ht="15.75">
      <c r="A63" s="407">
        <f>A61+1</f>
        <v>106</v>
      </c>
      <c r="B63" s="404" t="s">
        <v>636</v>
      </c>
      <c r="C63" s="211" t="s">
        <v>235</v>
      </c>
      <c r="D63" s="211"/>
      <c r="E63" s="1296"/>
      <c r="F63" s="1297"/>
      <c r="G63" s="1297"/>
      <c r="H63" s="1297"/>
      <c r="I63" s="1297"/>
      <c r="J63" s="1295"/>
      <c r="K63" s="873"/>
      <c r="L63" s="344"/>
      <c r="N63" s="84"/>
      <c r="O63" s="84"/>
      <c r="P63" s="634"/>
      <c r="Q63" s="634"/>
      <c r="R63" s="634"/>
      <c r="S63" s="634"/>
      <c r="T63" s="634"/>
      <c r="U63" s="634"/>
      <c r="V63" s="805"/>
      <c r="W63" s="805"/>
      <c r="X63" s="341"/>
      <c r="Y63" s="345"/>
      <c r="Z63" s="315"/>
      <c r="AA63" s="341"/>
      <c r="AB63" s="341"/>
      <c r="AC63" s="341"/>
      <c r="AD63" s="341"/>
      <c r="AE63" s="341"/>
      <c r="AF63" s="315"/>
      <c r="AG63" s="315"/>
      <c r="AH63" s="315"/>
      <c r="AI63" s="315"/>
      <c r="AJ63" s="341"/>
      <c r="AK63" s="341"/>
      <c r="AL63" s="315"/>
      <c r="AM63" s="341"/>
      <c r="AN63" s="341"/>
      <c r="AO63" s="341"/>
      <c r="AP63" s="341"/>
      <c r="AQ63" s="341"/>
      <c r="AR63" s="315"/>
      <c r="AS63" s="315"/>
      <c r="AT63" s="315"/>
      <c r="AU63" s="315"/>
      <c r="AV63" s="315"/>
      <c r="AW63" s="341"/>
      <c r="AX63" s="341"/>
      <c r="AY63" s="315"/>
      <c r="AZ63" s="341"/>
      <c r="BA63" s="341"/>
      <c r="BB63" s="341"/>
      <c r="BC63" s="341"/>
      <c r="BD63" s="341"/>
      <c r="BE63" s="315"/>
      <c r="BF63" s="941"/>
      <c r="BG63" s="941"/>
      <c r="BH63" s="941"/>
      <c r="BI63" s="315"/>
      <c r="BJ63" s="341"/>
      <c r="BK63" s="341"/>
      <c r="BL63" s="315"/>
      <c r="BM63" s="341"/>
      <c r="BN63" s="341"/>
      <c r="BO63" s="341"/>
      <c r="BP63" s="341"/>
      <c r="BQ63" s="341"/>
      <c r="BR63" s="315"/>
      <c r="BS63" s="941"/>
      <c r="BT63" s="941"/>
      <c r="BU63" s="941"/>
      <c r="BV63" s="315"/>
      <c r="BW63" s="315"/>
      <c r="BX63" s="315"/>
      <c r="BY63" s="315"/>
      <c r="BZ63" s="315"/>
      <c r="CA63" s="315"/>
      <c r="CB63" s="315"/>
      <c r="CC63" s="315"/>
      <c r="CD63" s="315"/>
      <c r="CE63" s="315"/>
      <c r="CF63" s="315"/>
      <c r="CG63" s="315"/>
      <c r="CH63" s="315"/>
      <c r="CI63" s="315"/>
      <c r="CJ63" s="315"/>
      <c r="CK63" s="315"/>
      <c r="CL63" s="315"/>
      <c r="CM63" s="315"/>
      <c r="CN63" s="315"/>
      <c r="CO63" s="315"/>
      <c r="CP63" s="315"/>
      <c r="CQ63" s="315"/>
      <c r="CR63" s="315"/>
      <c r="CS63" s="315"/>
      <c r="CT63" s="315"/>
      <c r="CU63" s="315"/>
      <c r="CV63" s="315"/>
      <c r="CW63" s="315"/>
      <c r="CX63" s="315"/>
      <c r="CY63" s="315"/>
      <c r="CZ63" s="315"/>
      <c r="DA63" s="315"/>
      <c r="DB63" s="315"/>
      <c r="DC63" s="315"/>
      <c r="DD63" s="315"/>
      <c r="DE63" s="315"/>
      <c r="DF63" s="315"/>
      <c r="DG63" s="315"/>
      <c r="DH63" s="315"/>
      <c r="DI63" s="315"/>
      <c r="DJ63" s="315"/>
      <c r="DK63" s="315"/>
      <c r="DL63" s="315"/>
      <c r="DM63" s="315"/>
      <c r="DN63" s="315"/>
      <c r="DO63" s="315"/>
      <c r="DP63" s="315"/>
      <c r="DQ63" s="315"/>
      <c r="DR63" s="315"/>
      <c r="DS63" s="315"/>
      <c r="DT63" s="315"/>
      <c r="DU63" s="315"/>
      <c r="DV63" s="315"/>
    </row>
    <row r="64" spans="1:126" ht="15.75">
      <c r="A64" s="407"/>
      <c r="B64" s="404"/>
      <c r="C64" s="775"/>
      <c r="D64" s="775"/>
      <c r="E64" s="775"/>
      <c r="F64" s="775"/>
      <c r="G64" s="775"/>
      <c r="H64" s="775"/>
      <c r="I64" s="775"/>
      <c r="J64" s="775"/>
      <c r="K64" s="250"/>
      <c r="L64" s="335"/>
      <c r="N64" s="84"/>
      <c r="O64" s="84"/>
      <c r="P64" s="806"/>
      <c r="Q64" s="806"/>
      <c r="R64" s="806"/>
      <c r="S64" s="806"/>
      <c r="T64" s="806"/>
      <c r="U64" s="806"/>
      <c r="V64" s="805"/>
      <c r="W64" s="805"/>
      <c r="X64" s="300"/>
      <c r="Y64" s="345"/>
      <c r="Z64" s="315"/>
      <c r="AA64" s="300"/>
      <c r="AB64" s="300"/>
      <c r="AC64" s="300"/>
      <c r="AD64" s="300"/>
      <c r="AE64" s="300"/>
      <c r="AF64" s="315"/>
      <c r="AG64" s="315"/>
      <c r="AH64" s="315"/>
      <c r="AI64" s="315"/>
      <c r="AJ64" s="300"/>
      <c r="AK64" s="300"/>
      <c r="AL64" s="315"/>
      <c r="AM64" s="300"/>
      <c r="AN64" s="300"/>
      <c r="AO64" s="300"/>
      <c r="AP64" s="300"/>
      <c r="AQ64" s="300"/>
      <c r="AR64" s="315"/>
      <c r="AS64" s="315"/>
      <c r="AT64" s="315"/>
      <c r="AU64" s="315"/>
      <c r="AV64" s="315"/>
      <c r="AW64" s="300"/>
      <c r="AX64" s="300"/>
      <c r="AY64" s="315"/>
      <c r="AZ64" s="300"/>
      <c r="BA64" s="300"/>
      <c r="BB64" s="300"/>
      <c r="BC64" s="300"/>
      <c r="BD64" s="300"/>
      <c r="BE64" s="315"/>
      <c r="BF64" s="941"/>
      <c r="BG64" s="941"/>
      <c r="BH64" s="941"/>
      <c r="BI64" s="315"/>
      <c r="BJ64" s="300"/>
      <c r="BK64" s="300"/>
      <c r="BL64" s="315"/>
      <c r="BM64" s="300"/>
      <c r="BN64" s="300"/>
      <c r="BO64" s="300"/>
      <c r="BP64" s="300"/>
      <c r="BQ64" s="300"/>
      <c r="BR64" s="315"/>
      <c r="BS64" s="941"/>
      <c r="BT64" s="941"/>
      <c r="BU64" s="941"/>
      <c r="BV64" s="315"/>
      <c r="BW64" s="315"/>
      <c r="BX64" s="315"/>
      <c r="BY64" s="315"/>
      <c r="BZ64" s="315"/>
      <c r="CA64" s="315"/>
      <c r="CB64" s="315"/>
      <c r="CC64" s="315"/>
      <c r="CD64" s="315"/>
      <c r="CE64" s="315"/>
      <c r="CF64" s="315"/>
      <c r="CG64" s="315"/>
      <c r="CH64" s="315"/>
      <c r="CI64" s="315"/>
      <c r="CJ64" s="315"/>
      <c r="CK64" s="315"/>
      <c r="CL64" s="315"/>
      <c r="CM64" s="315"/>
      <c r="CN64" s="315"/>
      <c r="CO64" s="315"/>
      <c r="CP64" s="315"/>
      <c r="CQ64" s="315"/>
      <c r="CR64" s="315"/>
      <c r="CS64" s="315"/>
      <c r="CT64" s="315"/>
      <c r="CU64" s="315"/>
      <c r="CV64" s="315"/>
      <c r="CW64" s="315"/>
      <c r="CX64" s="315"/>
      <c r="CY64" s="315"/>
      <c r="CZ64" s="315"/>
      <c r="DA64" s="315"/>
      <c r="DB64" s="315"/>
      <c r="DC64" s="315"/>
      <c r="DD64" s="315"/>
      <c r="DE64" s="315"/>
      <c r="DF64" s="315"/>
      <c r="DG64" s="315"/>
      <c r="DH64" s="315"/>
      <c r="DI64" s="315"/>
      <c r="DJ64" s="315"/>
      <c r="DK64" s="315"/>
      <c r="DL64" s="315"/>
      <c r="DM64" s="315"/>
      <c r="DN64" s="315"/>
      <c r="DO64" s="315"/>
      <c r="DP64" s="315"/>
      <c r="DQ64" s="315"/>
      <c r="DR64" s="315"/>
      <c r="DS64" s="315"/>
      <c r="DT64" s="315"/>
      <c r="DU64" s="315"/>
      <c r="DV64" s="315"/>
    </row>
    <row r="65" spans="1:164" ht="15.75">
      <c r="A65" s="407"/>
      <c r="B65" s="404"/>
      <c r="C65" s="534" t="s">
        <v>1210</v>
      </c>
      <c r="D65" s="471" t="s">
        <v>1213</v>
      </c>
      <c r="E65" s="471"/>
      <c r="F65" s="534" t="s">
        <v>1154</v>
      </c>
      <c r="G65" s="128" t="s">
        <v>1214</v>
      </c>
      <c r="H65" s="128"/>
      <c r="I65" s="128"/>
      <c r="J65" s="128"/>
      <c r="K65" s="372"/>
      <c r="L65" s="373"/>
      <c r="N65" s="84"/>
      <c r="O65" s="84"/>
      <c r="P65" s="806"/>
      <c r="Q65" s="806"/>
      <c r="R65" s="806"/>
      <c r="S65" s="806"/>
      <c r="T65" s="806"/>
      <c r="U65" s="806"/>
      <c r="V65" s="805"/>
      <c r="W65" s="805"/>
      <c r="X65" s="300"/>
      <c r="Y65" s="345"/>
      <c r="Z65" s="315"/>
      <c r="AA65" s="300"/>
      <c r="AB65" s="300"/>
      <c r="AC65" s="300"/>
      <c r="AD65" s="300"/>
      <c r="AE65" s="300"/>
      <c r="AF65" s="315"/>
      <c r="AG65" s="315"/>
      <c r="AH65" s="315"/>
      <c r="AI65" s="315"/>
      <c r="AJ65" s="300"/>
      <c r="AK65" s="300"/>
      <c r="AL65" s="315"/>
      <c r="AM65" s="300"/>
      <c r="AN65" s="300"/>
      <c r="AO65" s="300"/>
      <c r="AP65" s="300"/>
      <c r="AQ65" s="300"/>
      <c r="AR65" s="315"/>
      <c r="AS65" s="315"/>
      <c r="AT65" s="315"/>
      <c r="AU65" s="315"/>
      <c r="AV65" s="315"/>
      <c r="AW65" s="300"/>
      <c r="AX65" s="300"/>
      <c r="AY65" s="315"/>
      <c r="AZ65" s="300"/>
      <c r="BA65" s="300"/>
      <c r="BB65" s="300"/>
      <c r="BC65" s="300"/>
      <c r="BD65" s="300"/>
      <c r="BE65" s="315"/>
      <c r="BF65" s="941"/>
      <c r="BG65" s="941"/>
      <c r="BH65" s="941"/>
      <c r="BI65" s="315"/>
      <c r="BJ65" s="300"/>
      <c r="BK65" s="300"/>
      <c r="BL65" s="315"/>
      <c r="BM65" s="300"/>
      <c r="BN65" s="300"/>
      <c r="BO65" s="300"/>
      <c r="BP65" s="300"/>
      <c r="BQ65" s="300"/>
      <c r="BR65" s="315"/>
      <c r="BS65" s="941"/>
      <c r="BT65" s="941"/>
      <c r="BU65" s="941"/>
      <c r="BV65" s="315"/>
      <c r="BW65" s="315"/>
      <c r="BX65" s="315"/>
      <c r="BY65" s="315"/>
      <c r="BZ65" s="315"/>
      <c r="CA65" s="315"/>
      <c r="CB65" s="315"/>
      <c r="CC65" s="315"/>
      <c r="CD65" s="315"/>
      <c r="CE65" s="315"/>
      <c r="CF65" s="315"/>
      <c r="CG65" s="315"/>
      <c r="CH65" s="315"/>
      <c r="CI65" s="315"/>
      <c r="CJ65" s="315"/>
      <c r="CK65" s="315"/>
      <c r="CL65" s="315"/>
      <c r="CM65" s="315"/>
      <c r="CN65" s="315"/>
      <c r="CO65" s="315"/>
      <c r="CP65" s="315"/>
      <c r="CQ65" s="315"/>
      <c r="CR65" s="315"/>
      <c r="CS65" s="315"/>
      <c r="CT65" s="315"/>
      <c r="CU65" s="315"/>
      <c r="CV65" s="315"/>
      <c r="CW65" s="315"/>
      <c r="CX65" s="315"/>
      <c r="CY65" s="315"/>
      <c r="CZ65" s="315"/>
      <c r="DA65" s="315"/>
      <c r="DB65" s="315"/>
      <c r="DC65" s="315"/>
      <c r="DD65" s="315"/>
      <c r="DE65" s="315"/>
      <c r="DF65" s="315"/>
      <c r="DG65" s="315"/>
      <c r="DH65" s="315"/>
      <c r="DI65" s="315"/>
      <c r="DJ65" s="315"/>
      <c r="DK65" s="315"/>
      <c r="DL65" s="315"/>
      <c r="DM65" s="315"/>
      <c r="DN65" s="315"/>
      <c r="DO65" s="315"/>
      <c r="DP65" s="315"/>
      <c r="DQ65" s="315"/>
      <c r="DR65" s="315"/>
      <c r="DS65" s="315"/>
      <c r="DT65" s="315"/>
      <c r="DU65" s="315"/>
      <c r="DV65" s="315"/>
    </row>
    <row r="66" spans="1:164" ht="15.75">
      <c r="A66" s="407">
        <f>A63+1</f>
        <v>107</v>
      </c>
      <c r="B66" s="404" t="s">
        <v>636</v>
      </c>
      <c r="C66" s="1097">
        <v>3</v>
      </c>
      <c r="D66" s="404" t="s">
        <v>1215</v>
      </c>
      <c r="E66" s="404"/>
      <c r="F66" s="1064"/>
      <c r="G66" s="1294"/>
      <c r="H66" s="1297"/>
      <c r="I66" s="1297"/>
      <c r="J66" s="1295"/>
      <c r="K66" s="873"/>
      <c r="L66" s="340"/>
      <c r="N66" s="84"/>
      <c r="O66" s="84"/>
      <c r="P66" s="806"/>
      <c r="Q66" s="806"/>
      <c r="R66" s="806"/>
      <c r="S66" s="806"/>
      <c r="T66" s="806"/>
      <c r="U66" s="806"/>
      <c r="V66" s="805"/>
      <c r="W66" s="805"/>
      <c r="X66" s="300"/>
      <c r="Y66" s="345"/>
      <c r="Z66" s="315"/>
      <c r="AA66" s="300"/>
      <c r="AB66" s="300"/>
      <c r="AC66" s="300"/>
      <c r="AD66" s="300"/>
      <c r="AE66" s="300"/>
      <c r="AF66" s="315"/>
      <c r="AG66" s="315"/>
      <c r="AH66" s="315"/>
      <c r="AI66" s="315"/>
      <c r="AJ66" s="300"/>
      <c r="AK66" s="300"/>
      <c r="AL66" s="315"/>
      <c r="AM66" s="300"/>
      <c r="AN66" s="300"/>
      <c r="AO66" s="300"/>
      <c r="AP66" s="300"/>
      <c r="AQ66" s="300"/>
      <c r="AR66" s="315"/>
      <c r="AS66" s="315"/>
      <c r="AT66" s="315"/>
      <c r="AU66" s="315"/>
      <c r="AV66" s="315"/>
      <c r="AW66" s="300"/>
      <c r="AX66" s="300"/>
      <c r="AY66" s="315"/>
      <c r="AZ66" s="300"/>
      <c r="BA66" s="300"/>
      <c r="BB66" s="300"/>
      <c r="BC66" s="300"/>
      <c r="BD66" s="300"/>
      <c r="BE66" s="315"/>
      <c r="BF66" s="941"/>
      <c r="BG66" s="941"/>
      <c r="BH66" s="941"/>
      <c r="BI66" s="315"/>
      <c r="BJ66" s="300"/>
      <c r="BK66" s="315"/>
      <c r="BL66" s="315"/>
      <c r="BM66" s="300"/>
      <c r="BN66" s="300"/>
      <c r="BO66" s="300"/>
      <c r="BP66" s="300"/>
      <c r="BQ66" s="300"/>
      <c r="BR66" s="315"/>
      <c r="BS66" s="941"/>
      <c r="BT66" s="941"/>
      <c r="BU66" s="941"/>
      <c r="BV66" s="315"/>
      <c r="BW66" s="315"/>
      <c r="BX66" s="315"/>
      <c r="BY66" s="315"/>
      <c r="BZ66" s="315"/>
      <c r="CA66" s="315"/>
      <c r="CB66" s="315"/>
      <c r="CC66" s="315"/>
      <c r="CD66" s="315"/>
      <c r="CE66" s="315"/>
      <c r="CF66" s="315"/>
      <c r="CG66" s="315"/>
      <c r="CH66" s="315"/>
      <c r="CI66" s="315"/>
      <c r="CJ66" s="315"/>
      <c r="CK66" s="315"/>
      <c r="CL66" s="315"/>
      <c r="CM66" s="315"/>
      <c r="CN66" s="315"/>
      <c r="CO66" s="315"/>
      <c r="CP66" s="315"/>
      <c r="CQ66" s="315"/>
      <c r="CR66" s="315"/>
      <c r="CS66" s="315"/>
      <c r="CT66" s="315"/>
      <c r="CU66" s="315"/>
      <c r="CV66" s="315"/>
      <c r="CW66" s="315"/>
      <c r="CX66" s="315"/>
      <c r="CY66" s="315"/>
      <c r="CZ66" s="315"/>
      <c r="DA66" s="315"/>
      <c r="DB66" s="315"/>
      <c r="DC66" s="315"/>
      <c r="DD66" s="315"/>
      <c r="DE66" s="315"/>
      <c r="DF66" s="315"/>
      <c r="DG66" s="315"/>
      <c r="DH66" s="315"/>
      <c r="DI66" s="315"/>
      <c r="DJ66" s="315"/>
      <c r="DK66" s="315"/>
      <c r="DL66" s="315"/>
      <c r="DM66" s="315"/>
      <c r="DN66" s="315"/>
      <c r="DO66" s="315"/>
      <c r="DP66" s="315"/>
      <c r="DQ66" s="315"/>
      <c r="DR66" s="315"/>
      <c r="DS66" s="315"/>
      <c r="DT66" s="315"/>
      <c r="DU66" s="315"/>
      <c r="DV66" s="315"/>
    </row>
    <row r="67" spans="1:164" ht="15">
      <c r="A67" s="407">
        <f t="shared" ref="A67:A118" si="60">A66+1</f>
        <v>108</v>
      </c>
      <c r="B67" s="404" t="s">
        <v>636</v>
      </c>
      <c r="C67" s="1097">
        <v>4</v>
      </c>
      <c r="D67" s="404" t="s">
        <v>1216</v>
      </c>
      <c r="E67" s="404"/>
      <c r="F67" s="1064"/>
      <c r="G67" s="1294"/>
      <c r="H67" s="1297"/>
      <c r="I67" s="1297"/>
      <c r="J67" s="1295"/>
      <c r="K67" s="873"/>
      <c r="L67" s="340"/>
      <c r="N67" s="84"/>
      <c r="O67" s="84"/>
      <c r="P67" s="806"/>
      <c r="Q67" s="806"/>
      <c r="R67" s="807"/>
      <c r="S67" s="807"/>
      <c r="T67" s="807"/>
      <c r="U67" s="807"/>
      <c r="V67" s="807"/>
      <c r="W67" s="806"/>
      <c r="X67" s="300"/>
      <c r="Y67" s="300"/>
      <c r="Z67" s="804"/>
      <c r="AA67" s="806"/>
      <c r="AB67" s="806"/>
      <c r="AC67" s="807"/>
      <c r="AD67" s="807"/>
      <c r="AE67" s="807"/>
      <c r="AF67" s="807"/>
      <c r="AG67" s="807"/>
      <c r="AH67" s="807"/>
      <c r="AI67" s="806"/>
      <c r="AJ67" s="806"/>
      <c r="AK67" s="806"/>
      <c r="AL67" s="804"/>
      <c r="AM67" s="806"/>
      <c r="AN67" s="806"/>
      <c r="AO67" s="807"/>
      <c r="AP67" s="807"/>
      <c r="AQ67" s="807"/>
      <c r="AR67" s="315"/>
      <c r="AS67" s="315"/>
      <c r="AT67" s="315"/>
      <c r="AU67" s="315"/>
      <c r="AV67" s="315"/>
      <c r="AW67" s="806"/>
      <c r="AX67" s="806"/>
      <c r="AY67" s="804"/>
      <c r="AZ67" s="806"/>
      <c r="BA67" s="806"/>
      <c r="BB67" s="807"/>
      <c r="BC67" s="807"/>
      <c r="BD67" s="807"/>
      <c r="BE67" s="807"/>
      <c r="BF67" s="947"/>
      <c r="BG67" s="947"/>
      <c r="BH67" s="947"/>
      <c r="BI67" s="806"/>
      <c r="BJ67" s="806"/>
      <c r="BK67" s="806"/>
      <c r="BL67" s="804"/>
      <c r="BM67" s="806"/>
      <c r="BN67" s="806"/>
      <c r="BO67" s="807"/>
      <c r="BP67" s="807"/>
      <c r="BQ67" s="807"/>
      <c r="BR67" s="807"/>
      <c r="BS67" s="947"/>
      <c r="BT67" s="947"/>
      <c r="BU67" s="947"/>
      <c r="BV67" s="806"/>
      <c r="BW67" s="486"/>
      <c r="BX67" s="486"/>
      <c r="BY67" s="486"/>
      <c r="BZ67" s="486"/>
      <c r="CA67" s="486"/>
      <c r="CB67" s="486"/>
      <c r="CC67" s="486"/>
      <c r="CD67" s="486"/>
      <c r="CE67" s="486"/>
      <c r="CF67" s="486"/>
      <c r="CG67" s="486"/>
      <c r="CH67" s="486"/>
      <c r="CI67" s="486"/>
      <c r="CJ67" s="486"/>
      <c r="CK67" s="486"/>
      <c r="CL67" s="486"/>
      <c r="CM67" s="486"/>
      <c r="CN67" s="486"/>
      <c r="CO67" s="486"/>
      <c r="CP67" s="486"/>
      <c r="CQ67" s="486"/>
      <c r="CR67" s="486"/>
      <c r="CS67" s="486"/>
      <c r="CT67" s="486"/>
      <c r="CU67" s="486"/>
      <c r="CV67" s="486"/>
      <c r="CW67" s="486"/>
      <c r="CX67" s="486"/>
      <c r="CY67" s="486"/>
      <c r="CZ67" s="486"/>
      <c r="DA67" s="486"/>
      <c r="DB67" s="486"/>
      <c r="DC67" s="486"/>
      <c r="DD67" s="486"/>
      <c r="DE67" s="486"/>
      <c r="DF67" s="486"/>
      <c r="DG67" s="486"/>
      <c r="DH67" s="486"/>
      <c r="DI67" s="486"/>
      <c r="DJ67" s="486"/>
      <c r="DK67" s="486"/>
      <c r="DL67" s="486"/>
      <c r="DM67" s="486"/>
      <c r="DN67" s="486"/>
      <c r="DO67" s="486"/>
      <c r="DP67" s="486"/>
      <c r="DQ67" s="486"/>
      <c r="DR67" s="486"/>
      <c r="DS67" s="486"/>
      <c r="DT67" s="486"/>
      <c r="DU67" s="486"/>
      <c r="DV67" s="486"/>
      <c r="DW67" s="486"/>
      <c r="DX67" s="486"/>
      <c r="DY67" s="486"/>
      <c r="DZ67" s="486"/>
      <c r="EA67" s="486"/>
      <c r="EB67" s="486"/>
      <c r="EC67" s="486"/>
      <c r="ED67" s="486"/>
      <c r="EE67" s="486"/>
      <c r="EF67" s="486"/>
      <c r="EG67" s="486"/>
      <c r="EH67" s="486"/>
      <c r="EI67" s="486"/>
      <c r="EJ67" s="486"/>
      <c r="EK67" s="486"/>
      <c r="EL67" s="486"/>
      <c r="EM67" s="486"/>
      <c r="EN67" s="486"/>
      <c r="EO67" s="486"/>
      <c r="EP67" s="486"/>
      <c r="EQ67" s="486"/>
      <c r="ER67" s="486"/>
      <c r="ES67" s="486"/>
      <c r="ET67" s="486"/>
      <c r="EU67" s="486"/>
      <c r="EV67" s="486"/>
      <c r="EW67" s="486"/>
      <c r="EX67" s="486"/>
      <c r="EY67" s="486"/>
      <c r="EZ67" s="486"/>
      <c r="FA67" s="486"/>
      <c r="FB67" s="486"/>
      <c r="FC67" s="486"/>
      <c r="FD67" s="486"/>
      <c r="FE67" s="486"/>
      <c r="FF67" s="486"/>
      <c r="FG67" s="486"/>
      <c r="FH67" s="486"/>
    </row>
    <row r="68" spans="1:164" ht="15">
      <c r="A68" s="407">
        <f t="shared" si="60"/>
        <v>109</v>
      </c>
      <c r="B68" s="404" t="s">
        <v>636</v>
      </c>
      <c r="C68" s="1097">
        <v>5</v>
      </c>
      <c r="D68" s="404" t="s">
        <v>1217</v>
      </c>
      <c r="E68" s="404"/>
      <c r="F68" s="1064"/>
      <c r="G68" s="1294"/>
      <c r="H68" s="1297"/>
      <c r="I68" s="1297"/>
      <c r="J68" s="1295"/>
      <c r="K68" s="873"/>
      <c r="L68" s="340"/>
      <c r="N68" s="84"/>
      <c r="O68" s="84"/>
      <c r="P68" s="808"/>
      <c r="Q68" s="808"/>
      <c r="R68" s="809"/>
      <c r="S68" s="809"/>
      <c r="T68" s="809"/>
      <c r="U68" s="809"/>
      <c r="V68" s="809"/>
      <c r="W68" s="806"/>
      <c r="X68" s="300"/>
      <c r="Y68" s="300"/>
      <c r="Z68" s="804"/>
      <c r="AA68" s="808"/>
      <c r="AB68" s="808"/>
      <c r="AC68" s="809"/>
      <c r="AD68" s="809"/>
      <c r="AE68" s="809"/>
      <c r="AF68" s="809"/>
      <c r="AG68" s="809"/>
      <c r="AH68" s="809"/>
      <c r="AI68" s="806"/>
      <c r="AJ68" s="806"/>
      <c r="AK68" s="806"/>
      <c r="AL68" s="804"/>
      <c r="AM68" s="808"/>
      <c r="AN68" s="808"/>
      <c r="AO68" s="809"/>
      <c r="AP68" s="809"/>
      <c r="AQ68" s="809"/>
      <c r="AR68" s="809"/>
      <c r="AS68" s="809"/>
      <c r="AT68" s="809"/>
      <c r="AU68" s="809"/>
      <c r="AV68" s="806"/>
      <c r="AW68" s="806"/>
      <c r="AX68" s="806"/>
      <c r="AY68" s="804"/>
      <c r="AZ68" s="808"/>
      <c r="BA68" s="808"/>
      <c r="BB68" s="809"/>
      <c r="BC68" s="809"/>
      <c r="BD68" s="809"/>
      <c r="BE68" s="809"/>
      <c r="BF68" s="948"/>
      <c r="BG68" s="948"/>
      <c r="BH68" s="948"/>
      <c r="BI68" s="806"/>
      <c r="BJ68" s="806"/>
      <c r="BK68" s="806"/>
      <c r="BL68" s="804"/>
      <c r="BM68" s="808"/>
      <c r="BN68" s="808"/>
      <c r="BO68" s="809"/>
      <c r="BP68" s="809"/>
      <c r="BQ68" s="809"/>
      <c r="BR68" s="809"/>
      <c r="BS68" s="948"/>
      <c r="BT68" s="948"/>
      <c r="BU68" s="948"/>
      <c r="BV68" s="806"/>
      <c r="BW68" s="486"/>
      <c r="BX68" s="486"/>
      <c r="BY68" s="486"/>
      <c r="BZ68" s="486"/>
      <c r="CA68" s="486"/>
      <c r="CB68" s="486"/>
      <c r="CC68" s="486"/>
      <c r="CD68" s="486"/>
      <c r="CE68" s="486"/>
      <c r="CF68" s="486"/>
      <c r="CG68" s="486"/>
      <c r="CH68" s="486"/>
      <c r="CI68" s="486"/>
      <c r="CJ68" s="486"/>
      <c r="CK68" s="486"/>
      <c r="CL68" s="486"/>
      <c r="CM68" s="486"/>
      <c r="CN68" s="486"/>
      <c r="CO68" s="486"/>
      <c r="CP68" s="486"/>
      <c r="CQ68" s="486"/>
      <c r="CR68" s="486"/>
      <c r="CS68" s="486"/>
      <c r="CT68" s="486"/>
      <c r="CU68" s="486"/>
      <c r="CV68" s="486"/>
      <c r="CW68" s="486"/>
      <c r="CX68" s="486"/>
      <c r="CY68" s="486"/>
      <c r="CZ68" s="486"/>
      <c r="DA68" s="486"/>
      <c r="DB68" s="486"/>
      <c r="DC68" s="486"/>
      <c r="DD68" s="486"/>
      <c r="DE68" s="486"/>
      <c r="DF68" s="486"/>
      <c r="DG68" s="486"/>
      <c r="DH68" s="486"/>
      <c r="DI68" s="486"/>
      <c r="DJ68" s="486"/>
      <c r="DK68" s="486"/>
      <c r="DL68" s="486"/>
      <c r="DM68" s="486"/>
      <c r="DN68" s="486"/>
      <c r="DO68" s="486"/>
      <c r="DP68" s="486"/>
      <c r="DQ68" s="486"/>
      <c r="DR68" s="486"/>
      <c r="DS68" s="486"/>
      <c r="DT68" s="486"/>
      <c r="DU68" s="486"/>
      <c r="DV68" s="486"/>
      <c r="DW68" s="486"/>
      <c r="DX68" s="486"/>
      <c r="DY68" s="486"/>
      <c r="DZ68" s="486"/>
      <c r="EA68" s="486"/>
      <c r="EB68" s="486"/>
      <c r="EC68" s="486"/>
      <c r="ED68" s="486"/>
      <c r="EE68" s="486"/>
      <c r="EF68" s="486"/>
      <c r="EG68" s="486"/>
      <c r="EH68" s="486"/>
      <c r="EI68" s="486"/>
      <c r="EJ68" s="486"/>
      <c r="EK68" s="486"/>
      <c r="EL68" s="486"/>
      <c r="EM68" s="486"/>
      <c r="EN68" s="486"/>
      <c r="EO68" s="486"/>
      <c r="EP68" s="486"/>
      <c r="EQ68" s="486"/>
      <c r="ER68" s="486"/>
      <c r="ES68" s="486"/>
      <c r="ET68" s="486"/>
      <c r="EU68" s="486"/>
      <c r="EV68" s="486"/>
      <c r="EW68" s="486"/>
      <c r="EX68" s="486"/>
      <c r="EY68" s="486"/>
      <c r="EZ68" s="486"/>
      <c r="FA68" s="486"/>
      <c r="FB68" s="486"/>
      <c r="FC68" s="486"/>
      <c r="FD68" s="486"/>
      <c r="FE68" s="486"/>
      <c r="FF68" s="486"/>
      <c r="FG68" s="486"/>
      <c r="FH68" s="486"/>
    </row>
    <row r="69" spans="1:164" ht="15">
      <c r="A69" s="407">
        <f t="shared" si="60"/>
        <v>110</v>
      </c>
      <c r="B69" s="404" t="s">
        <v>636</v>
      </c>
      <c r="C69" s="1097">
        <v>6</v>
      </c>
      <c r="D69" s="404" t="s">
        <v>1218</v>
      </c>
      <c r="E69" s="404"/>
      <c r="F69" s="1064"/>
      <c r="G69" s="1294"/>
      <c r="H69" s="1297"/>
      <c r="I69" s="1297"/>
      <c r="J69" s="1295"/>
      <c r="K69" s="873"/>
      <c r="L69" s="340"/>
      <c r="N69" s="84"/>
      <c r="O69" s="84"/>
      <c r="P69" s="808"/>
      <c r="Q69" s="808"/>
      <c r="R69" s="809"/>
      <c r="S69" s="809"/>
      <c r="T69" s="809"/>
      <c r="U69" s="809"/>
      <c r="V69" s="809"/>
      <c r="W69" s="806"/>
      <c r="X69" s="300"/>
      <c r="Y69" s="300"/>
      <c r="Z69" s="804"/>
      <c r="AA69" s="808"/>
      <c r="AB69" s="808"/>
      <c r="AC69" s="809"/>
      <c r="AD69" s="809"/>
      <c r="AE69" s="809"/>
      <c r="AF69" s="809"/>
      <c r="AG69" s="809"/>
      <c r="AH69" s="809"/>
      <c r="AI69" s="806"/>
      <c r="AJ69" s="806"/>
      <c r="AK69" s="806"/>
      <c r="AL69" s="804"/>
      <c r="AM69" s="808"/>
      <c r="AN69" s="808"/>
      <c r="AO69" s="809"/>
      <c r="AP69" s="809"/>
      <c r="AQ69" s="809"/>
      <c r="AR69" s="809"/>
      <c r="AS69" s="809"/>
      <c r="AT69" s="809"/>
      <c r="AU69" s="809"/>
      <c r="AV69" s="806"/>
      <c r="AW69" s="806"/>
      <c r="AX69" s="806"/>
      <c r="AY69" s="804"/>
      <c r="AZ69" s="808"/>
      <c r="BA69" s="808"/>
      <c r="BB69" s="809"/>
      <c r="BC69" s="809"/>
      <c r="BD69" s="809"/>
      <c r="BE69" s="809"/>
      <c r="BF69" s="948"/>
      <c r="BG69" s="948"/>
      <c r="BH69" s="948"/>
      <c r="BI69" s="806"/>
      <c r="BJ69" s="806"/>
      <c r="BK69" s="806"/>
      <c r="BL69" s="804"/>
      <c r="BM69" s="808"/>
      <c r="BN69" s="808"/>
      <c r="BO69" s="809"/>
      <c r="BP69" s="809"/>
      <c r="BQ69" s="809"/>
      <c r="BR69" s="809"/>
      <c r="BS69" s="948"/>
      <c r="BT69" s="948"/>
      <c r="BU69" s="948"/>
      <c r="BV69" s="806"/>
      <c r="BW69" s="486"/>
      <c r="BX69" s="486"/>
      <c r="BY69" s="486"/>
      <c r="BZ69" s="486"/>
      <c r="CA69" s="486"/>
      <c r="CB69" s="486"/>
      <c r="CC69" s="486"/>
      <c r="CD69" s="486"/>
      <c r="CE69" s="486"/>
      <c r="CF69" s="486"/>
      <c r="CG69" s="486"/>
      <c r="CH69" s="486"/>
      <c r="CI69" s="486"/>
      <c r="CJ69" s="486"/>
      <c r="CK69" s="486"/>
      <c r="CL69" s="486"/>
      <c r="CM69" s="486"/>
      <c r="CN69" s="486"/>
      <c r="CO69" s="486"/>
      <c r="CP69" s="486"/>
      <c r="CQ69" s="486"/>
      <c r="CR69" s="486"/>
      <c r="CS69" s="486"/>
      <c r="CT69" s="486"/>
      <c r="CU69" s="486"/>
      <c r="CV69" s="486"/>
      <c r="CW69" s="486"/>
      <c r="CX69" s="486"/>
      <c r="CY69" s="486"/>
      <c r="CZ69" s="486"/>
      <c r="DA69" s="486"/>
      <c r="DB69" s="486"/>
      <c r="DC69" s="486"/>
      <c r="DD69" s="486"/>
      <c r="DE69" s="486"/>
      <c r="DF69" s="486"/>
      <c r="DG69" s="486"/>
      <c r="DH69" s="486"/>
      <c r="DI69" s="486"/>
      <c r="DJ69" s="486"/>
      <c r="DK69" s="486"/>
      <c r="DL69" s="486"/>
      <c r="DM69" s="486"/>
      <c r="DN69" s="486"/>
      <c r="DO69" s="486"/>
      <c r="DP69" s="486"/>
      <c r="DQ69" s="486"/>
      <c r="DR69" s="486"/>
      <c r="DS69" s="486"/>
      <c r="DT69" s="486"/>
      <c r="DU69" s="486"/>
      <c r="DV69" s="486"/>
      <c r="DW69" s="486"/>
      <c r="DX69" s="486"/>
      <c r="DY69" s="486"/>
      <c r="DZ69" s="486"/>
      <c r="EA69" s="486"/>
      <c r="EB69" s="486"/>
      <c r="EC69" s="486"/>
      <c r="ED69" s="486"/>
      <c r="EE69" s="486"/>
      <c r="EF69" s="486"/>
      <c r="EG69" s="486"/>
      <c r="EH69" s="486"/>
      <c r="EI69" s="486"/>
      <c r="EJ69" s="486"/>
      <c r="EK69" s="486"/>
      <c r="EL69" s="486"/>
      <c r="EM69" s="486"/>
      <c r="EN69" s="486"/>
      <c r="EO69" s="486"/>
      <c r="EP69" s="486"/>
      <c r="EQ69" s="486"/>
      <c r="ER69" s="486"/>
      <c r="ES69" s="486"/>
      <c r="ET69" s="486"/>
      <c r="EU69" s="486"/>
      <c r="EV69" s="486"/>
      <c r="EW69" s="486"/>
      <c r="EX69" s="486"/>
      <c r="EY69" s="486"/>
      <c r="EZ69" s="486"/>
      <c r="FA69" s="486"/>
      <c r="FB69" s="486"/>
      <c r="FC69" s="486"/>
      <c r="FD69" s="486"/>
      <c r="FE69" s="486"/>
      <c r="FF69" s="486"/>
      <c r="FG69" s="486"/>
      <c r="FH69" s="486"/>
    </row>
    <row r="70" spans="1:164" ht="15">
      <c r="A70" s="407">
        <f t="shared" si="60"/>
        <v>111</v>
      </c>
      <c r="B70" s="404" t="s">
        <v>636</v>
      </c>
      <c r="C70" s="1097">
        <v>6</v>
      </c>
      <c r="D70" s="404" t="s">
        <v>1219</v>
      </c>
      <c r="E70" s="404"/>
      <c r="F70" s="1064"/>
      <c r="G70" s="1294"/>
      <c r="H70" s="1297"/>
      <c r="I70" s="1297"/>
      <c r="J70" s="1295"/>
      <c r="K70" s="873"/>
      <c r="L70" s="340"/>
      <c r="N70" s="84"/>
      <c r="O70" s="84"/>
      <c r="P70" s="808"/>
      <c r="Q70" s="808"/>
      <c r="R70" s="809"/>
      <c r="S70" s="809"/>
      <c r="T70" s="809"/>
      <c r="U70" s="809"/>
      <c r="V70" s="809"/>
      <c r="W70" s="806"/>
      <c r="X70" s="300"/>
      <c r="Y70" s="300"/>
      <c r="Z70" s="804"/>
      <c r="AA70" s="808"/>
      <c r="AB70" s="808"/>
      <c r="AC70" s="809"/>
      <c r="AD70" s="809"/>
      <c r="AE70" s="809"/>
      <c r="AF70" s="809"/>
      <c r="AG70" s="809"/>
      <c r="AH70" s="809"/>
      <c r="AI70" s="806"/>
      <c r="AJ70" s="806"/>
      <c r="AK70" s="806"/>
      <c r="AL70" s="804"/>
      <c r="AM70" s="808"/>
      <c r="AN70" s="808"/>
      <c r="AO70" s="809"/>
      <c r="AP70" s="809"/>
      <c r="AQ70" s="809"/>
      <c r="AR70" s="809"/>
      <c r="AS70" s="809"/>
      <c r="AT70" s="809"/>
      <c r="AU70" s="809"/>
      <c r="AV70" s="806"/>
      <c r="AW70" s="806"/>
      <c r="AX70" s="806"/>
      <c r="AY70" s="804"/>
      <c r="AZ70" s="808"/>
      <c r="BA70" s="808"/>
      <c r="BB70" s="809"/>
      <c r="BC70" s="809"/>
      <c r="BD70" s="809"/>
      <c r="BE70" s="809"/>
      <c r="BF70" s="948"/>
      <c r="BG70" s="948"/>
      <c r="BH70" s="948"/>
      <c r="BI70" s="806"/>
      <c r="BJ70" s="806"/>
      <c r="BK70" s="806"/>
      <c r="BL70" s="804"/>
      <c r="BM70" s="808"/>
      <c r="BN70" s="808"/>
      <c r="BO70" s="809"/>
      <c r="BP70" s="809"/>
      <c r="BQ70" s="809"/>
      <c r="BR70" s="809"/>
      <c r="BS70" s="948"/>
      <c r="BT70" s="948"/>
      <c r="BU70" s="948"/>
      <c r="BV70" s="806"/>
      <c r="BW70" s="486"/>
      <c r="BX70" s="486"/>
      <c r="BY70" s="486"/>
      <c r="BZ70" s="486"/>
      <c r="CA70" s="486"/>
      <c r="CB70" s="486"/>
      <c r="CC70" s="486"/>
      <c r="CD70" s="486"/>
      <c r="CE70" s="486"/>
      <c r="CF70" s="486"/>
      <c r="CG70" s="486"/>
      <c r="CH70" s="486"/>
      <c r="CI70" s="486"/>
      <c r="CJ70" s="486"/>
      <c r="CK70" s="486"/>
      <c r="CL70" s="486"/>
      <c r="CM70" s="486"/>
      <c r="CN70" s="486"/>
      <c r="CO70" s="486"/>
      <c r="CP70" s="486"/>
      <c r="CQ70" s="486"/>
      <c r="CR70" s="486"/>
      <c r="CS70" s="486"/>
      <c r="CT70" s="486"/>
      <c r="CU70" s="486"/>
      <c r="CV70" s="486"/>
      <c r="CW70" s="486"/>
      <c r="CX70" s="486"/>
      <c r="CY70" s="486"/>
      <c r="CZ70" s="486"/>
      <c r="DA70" s="486"/>
      <c r="DB70" s="486"/>
      <c r="DC70" s="486"/>
      <c r="DD70" s="486"/>
      <c r="DE70" s="486"/>
      <c r="DF70" s="486"/>
      <c r="DG70" s="486"/>
      <c r="DH70" s="486"/>
      <c r="DI70" s="486"/>
      <c r="DJ70" s="486"/>
      <c r="DK70" s="486"/>
      <c r="DL70" s="486"/>
      <c r="DM70" s="486"/>
      <c r="DN70" s="486"/>
      <c r="DO70" s="486"/>
      <c r="DP70" s="486"/>
      <c r="DQ70" s="486"/>
      <c r="DR70" s="486"/>
      <c r="DS70" s="486"/>
      <c r="DT70" s="486"/>
      <c r="DU70" s="486"/>
      <c r="DV70" s="486"/>
      <c r="DW70" s="486"/>
      <c r="DX70" s="486"/>
      <c r="DY70" s="486"/>
      <c r="DZ70" s="486"/>
      <c r="EA70" s="486"/>
      <c r="EB70" s="486"/>
      <c r="EC70" s="486"/>
      <c r="ED70" s="486"/>
      <c r="EE70" s="486"/>
      <c r="EF70" s="486"/>
      <c r="EG70" s="486"/>
      <c r="EH70" s="486"/>
      <c r="EI70" s="486"/>
      <c r="EJ70" s="486"/>
      <c r="EK70" s="486"/>
      <c r="EL70" s="486"/>
      <c r="EM70" s="486"/>
      <c r="EN70" s="486"/>
      <c r="EO70" s="486"/>
      <c r="EP70" s="486"/>
      <c r="EQ70" s="486"/>
      <c r="ER70" s="486"/>
      <c r="ES70" s="486"/>
      <c r="ET70" s="486"/>
      <c r="EU70" s="486"/>
      <c r="EV70" s="486"/>
      <c r="EW70" s="486"/>
      <c r="EX70" s="486"/>
      <c r="EY70" s="486"/>
      <c r="EZ70" s="486"/>
      <c r="FA70" s="486"/>
      <c r="FB70" s="486"/>
      <c r="FC70" s="486"/>
      <c r="FD70" s="486"/>
      <c r="FE70" s="486"/>
      <c r="FF70" s="486"/>
      <c r="FG70" s="486"/>
      <c r="FH70" s="486"/>
    </row>
    <row r="71" spans="1:164" ht="15">
      <c r="A71" s="407">
        <f t="shared" si="60"/>
        <v>112</v>
      </c>
      <c r="B71" s="404" t="s">
        <v>636</v>
      </c>
      <c r="C71" s="1097">
        <v>7</v>
      </c>
      <c r="D71" s="404" t="s">
        <v>1220</v>
      </c>
      <c r="E71" s="404"/>
      <c r="F71" s="1064"/>
      <c r="G71" s="1294"/>
      <c r="H71" s="1297"/>
      <c r="I71" s="1297"/>
      <c r="J71" s="1295"/>
      <c r="K71" s="873"/>
      <c r="L71" s="340"/>
      <c r="N71" s="84"/>
      <c r="O71" s="84"/>
      <c r="P71" s="804"/>
      <c r="Q71" s="804"/>
      <c r="R71" s="809"/>
      <c r="S71" s="809"/>
      <c r="T71" s="809"/>
      <c r="U71" s="809"/>
      <c r="V71" s="809"/>
      <c r="W71" s="806"/>
      <c r="X71" s="300"/>
      <c r="Y71" s="300"/>
      <c r="Z71" s="804"/>
      <c r="AA71" s="804"/>
      <c r="AB71" s="804"/>
      <c r="AC71" s="809"/>
      <c r="AD71" s="809"/>
      <c r="AE71" s="809"/>
      <c r="AF71" s="809"/>
      <c r="AG71" s="809"/>
      <c r="AH71" s="809"/>
      <c r="AI71" s="806"/>
      <c r="AJ71" s="806"/>
      <c r="AK71" s="806"/>
      <c r="AL71" s="804"/>
      <c r="AM71" s="804"/>
      <c r="AN71" s="804"/>
      <c r="AO71" s="809"/>
      <c r="AP71" s="809"/>
      <c r="AQ71" s="809"/>
      <c r="AR71" s="809"/>
      <c r="AS71" s="809"/>
      <c r="AT71" s="809"/>
      <c r="AU71" s="809"/>
      <c r="AV71" s="806"/>
      <c r="AW71" s="806"/>
      <c r="AX71" s="806"/>
      <c r="AY71" s="804"/>
      <c r="AZ71" s="804"/>
      <c r="BA71" s="804"/>
      <c r="BB71" s="809"/>
      <c r="BC71" s="809"/>
      <c r="BD71" s="809"/>
      <c r="BE71" s="809"/>
      <c r="BF71" s="948"/>
      <c r="BG71" s="948"/>
      <c r="BH71" s="948"/>
      <c r="BI71" s="806"/>
      <c r="BJ71" s="806"/>
      <c r="BK71" s="806"/>
      <c r="BL71" s="804"/>
      <c r="BM71" s="804"/>
      <c r="BN71" s="804"/>
      <c r="BO71" s="809"/>
      <c r="BP71" s="809"/>
      <c r="BQ71" s="809"/>
      <c r="BR71" s="809"/>
      <c r="BS71" s="948"/>
      <c r="BT71" s="948"/>
      <c r="BU71" s="948"/>
      <c r="BV71" s="806"/>
      <c r="BW71" s="486"/>
      <c r="BX71" s="486"/>
      <c r="BY71" s="486"/>
      <c r="BZ71" s="486"/>
      <c r="CA71" s="486"/>
      <c r="CB71" s="486"/>
      <c r="CC71" s="486"/>
      <c r="CD71" s="486"/>
      <c r="CE71" s="486"/>
      <c r="CF71" s="486"/>
      <c r="CG71" s="486"/>
      <c r="CH71" s="486"/>
      <c r="CI71" s="486"/>
      <c r="CJ71" s="486"/>
      <c r="CK71" s="486"/>
      <c r="CL71" s="486"/>
      <c r="CM71" s="486"/>
      <c r="CN71" s="486"/>
      <c r="CO71" s="486"/>
      <c r="CP71" s="486"/>
      <c r="CQ71" s="486"/>
      <c r="CR71" s="486"/>
      <c r="CS71" s="486"/>
      <c r="CT71" s="486"/>
      <c r="CU71" s="486"/>
      <c r="CV71" s="486"/>
      <c r="CW71" s="486"/>
      <c r="CX71" s="486"/>
      <c r="CY71" s="486"/>
      <c r="CZ71" s="486"/>
      <c r="DA71" s="486"/>
      <c r="DB71" s="486"/>
      <c r="DC71" s="486"/>
      <c r="DD71" s="486"/>
      <c r="DE71" s="486"/>
      <c r="DF71" s="486"/>
      <c r="DG71" s="486"/>
      <c r="DH71" s="486"/>
      <c r="DI71" s="486"/>
      <c r="DJ71" s="486"/>
      <c r="DK71" s="486"/>
      <c r="DL71" s="486"/>
      <c r="DM71" s="486"/>
      <c r="DN71" s="486"/>
      <c r="DO71" s="486"/>
      <c r="DP71" s="486"/>
      <c r="DQ71" s="486"/>
      <c r="DR71" s="486"/>
      <c r="DS71" s="486"/>
      <c r="DT71" s="486"/>
      <c r="DU71" s="486"/>
      <c r="DV71" s="486"/>
      <c r="DW71" s="486"/>
      <c r="DX71" s="486"/>
      <c r="DY71" s="486"/>
      <c r="DZ71" s="486"/>
      <c r="EA71" s="486"/>
      <c r="EB71" s="486"/>
      <c r="EC71" s="486"/>
      <c r="ED71" s="486"/>
      <c r="EE71" s="486"/>
      <c r="EF71" s="486"/>
      <c r="EG71" s="486"/>
      <c r="EH71" s="486"/>
      <c r="EI71" s="486"/>
      <c r="EJ71" s="486"/>
      <c r="EK71" s="486"/>
      <c r="EL71" s="486"/>
      <c r="EM71" s="486"/>
      <c r="EN71" s="486"/>
      <c r="EO71" s="486"/>
      <c r="EP71" s="486"/>
      <c r="EQ71" s="486"/>
      <c r="ER71" s="486"/>
      <c r="ES71" s="486"/>
      <c r="ET71" s="486"/>
      <c r="EU71" s="486"/>
      <c r="EV71" s="486"/>
      <c r="EW71" s="486"/>
      <c r="EX71" s="486"/>
      <c r="EY71" s="486"/>
      <c r="EZ71" s="486"/>
      <c r="FA71" s="486"/>
      <c r="FB71" s="486"/>
      <c r="FC71" s="486"/>
      <c r="FD71" s="486"/>
      <c r="FE71" s="486"/>
      <c r="FF71" s="486"/>
      <c r="FG71" s="486"/>
      <c r="FH71" s="486"/>
    </row>
    <row r="72" spans="1:164" ht="15">
      <c r="A72" s="407">
        <f t="shared" si="60"/>
        <v>113</v>
      </c>
      <c r="B72" s="404" t="s">
        <v>636</v>
      </c>
      <c r="C72" s="1097">
        <v>7</v>
      </c>
      <c r="D72" s="404" t="s">
        <v>1221</v>
      </c>
      <c r="E72" s="404"/>
      <c r="F72" s="1064"/>
      <c r="G72" s="1294"/>
      <c r="H72" s="1297"/>
      <c r="I72" s="1297"/>
      <c r="J72" s="1295"/>
      <c r="K72" s="873"/>
      <c r="L72" s="340"/>
      <c r="N72" s="84"/>
      <c r="O72" s="84"/>
      <c r="P72" s="804"/>
      <c r="Q72" s="804"/>
      <c r="R72" s="809"/>
      <c r="S72" s="809"/>
      <c r="T72" s="809"/>
      <c r="U72" s="809"/>
      <c r="V72" s="809"/>
      <c r="W72" s="806"/>
      <c r="X72" s="300"/>
      <c r="Y72" s="300"/>
      <c r="Z72" s="804"/>
      <c r="AA72" s="804"/>
      <c r="AB72" s="804"/>
      <c r="AC72" s="809"/>
      <c r="AD72" s="809"/>
      <c r="AE72" s="809"/>
      <c r="AF72" s="809"/>
      <c r="AG72" s="809"/>
      <c r="AH72" s="809"/>
      <c r="AI72" s="806"/>
      <c r="AJ72" s="806"/>
      <c r="AK72" s="806"/>
      <c r="AL72" s="804"/>
      <c r="AM72" s="804"/>
      <c r="AN72" s="804"/>
      <c r="AO72" s="809"/>
      <c r="AP72" s="809"/>
      <c r="AQ72" s="809"/>
      <c r="AR72" s="809"/>
      <c r="AS72" s="809"/>
      <c r="AT72" s="809"/>
      <c r="AU72" s="809"/>
      <c r="AV72" s="806"/>
      <c r="AW72" s="806"/>
      <c r="AX72" s="806"/>
      <c r="AY72" s="804"/>
      <c r="AZ72" s="804"/>
      <c r="BA72" s="804"/>
      <c r="BB72" s="809"/>
      <c r="BC72" s="809"/>
      <c r="BD72" s="809"/>
      <c r="BE72" s="809"/>
      <c r="BF72" s="948"/>
      <c r="BG72" s="948"/>
      <c r="BH72" s="948"/>
      <c r="BI72" s="806"/>
      <c r="BJ72" s="806"/>
      <c r="BK72" s="806"/>
      <c r="BL72" s="804"/>
      <c r="BM72" s="804"/>
      <c r="BN72" s="804"/>
      <c r="BO72" s="809"/>
      <c r="BP72" s="809"/>
      <c r="BQ72" s="809"/>
      <c r="BR72" s="809"/>
      <c r="BS72" s="948"/>
      <c r="BT72" s="948"/>
      <c r="BU72" s="948"/>
      <c r="BV72" s="806"/>
      <c r="BW72" s="486"/>
      <c r="BX72" s="486"/>
      <c r="BY72" s="486"/>
      <c r="BZ72" s="486"/>
      <c r="CA72" s="486"/>
      <c r="CB72" s="486"/>
      <c r="CC72" s="486"/>
      <c r="CD72" s="486"/>
      <c r="CE72" s="486"/>
      <c r="CF72" s="486"/>
      <c r="CG72" s="486"/>
      <c r="CH72" s="486"/>
      <c r="CI72" s="486"/>
      <c r="CJ72" s="486"/>
      <c r="CK72" s="486"/>
      <c r="CL72" s="486"/>
      <c r="CM72" s="486"/>
      <c r="CN72" s="486"/>
      <c r="CO72" s="486"/>
      <c r="CP72" s="486"/>
      <c r="CQ72" s="486"/>
      <c r="CR72" s="486"/>
      <c r="CS72" s="486"/>
      <c r="CT72" s="486"/>
      <c r="CU72" s="486"/>
      <c r="CV72" s="486"/>
      <c r="CW72" s="486"/>
      <c r="CX72" s="486"/>
      <c r="CY72" s="486"/>
      <c r="CZ72" s="486"/>
      <c r="DA72" s="486"/>
      <c r="DB72" s="486"/>
      <c r="DC72" s="486"/>
      <c r="DD72" s="486"/>
      <c r="DE72" s="486"/>
      <c r="DF72" s="486"/>
      <c r="DG72" s="486"/>
      <c r="DH72" s="486"/>
      <c r="DI72" s="486"/>
      <c r="DJ72" s="486"/>
      <c r="DK72" s="486"/>
      <c r="DL72" s="486"/>
      <c r="DM72" s="486"/>
      <c r="DN72" s="486"/>
      <c r="DO72" s="486"/>
      <c r="DP72" s="486"/>
      <c r="DQ72" s="486"/>
      <c r="DR72" s="486"/>
      <c r="DS72" s="486"/>
      <c r="DT72" s="486"/>
      <c r="DU72" s="486"/>
      <c r="DV72" s="486"/>
      <c r="DW72" s="486"/>
      <c r="DX72" s="486"/>
      <c r="DY72" s="486"/>
      <c r="DZ72" s="486"/>
      <c r="EA72" s="486"/>
      <c r="EB72" s="486"/>
      <c r="EC72" s="486"/>
      <c r="ED72" s="486"/>
      <c r="EE72" s="486"/>
      <c r="EF72" s="486"/>
      <c r="EG72" s="486"/>
      <c r="EH72" s="486"/>
      <c r="EI72" s="486"/>
      <c r="EJ72" s="486"/>
      <c r="EK72" s="486"/>
      <c r="EL72" s="486"/>
      <c r="EM72" s="486"/>
      <c r="EN72" s="486"/>
      <c r="EO72" s="486"/>
      <c r="EP72" s="486"/>
      <c r="EQ72" s="486"/>
      <c r="ER72" s="486"/>
      <c r="ES72" s="486"/>
      <c r="ET72" s="486"/>
      <c r="EU72" s="486"/>
      <c r="EV72" s="486"/>
      <c r="EW72" s="486"/>
      <c r="EX72" s="486"/>
      <c r="EY72" s="486"/>
      <c r="EZ72" s="486"/>
      <c r="FA72" s="486"/>
      <c r="FB72" s="486"/>
      <c r="FC72" s="486"/>
      <c r="FD72" s="486"/>
      <c r="FE72" s="486"/>
      <c r="FF72" s="486"/>
      <c r="FG72" s="486"/>
      <c r="FH72" s="486"/>
    </row>
    <row r="73" spans="1:164" ht="15">
      <c r="A73" s="407">
        <f t="shared" si="60"/>
        <v>114</v>
      </c>
      <c r="B73" s="404" t="s">
        <v>636</v>
      </c>
      <c r="C73" s="1097">
        <v>7</v>
      </c>
      <c r="D73" s="404" t="s">
        <v>1222</v>
      </c>
      <c r="E73" s="404"/>
      <c r="F73" s="1064"/>
      <c r="G73" s="1294"/>
      <c r="H73" s="1297"/>
      <c r="I73" s="1297"/>
      <c r="J73" s="1295"/>
      <c r="K73" s="873"/>
      <c r="L73" s="340"/>
      <c r="N73" s="84"/>
      <c r="O73" s="84"/>
      <c r="P73" s="804"/>
      <c r="Q73" s="804"/>
      <c r="R73" s="809"/>
      <c r="S73" s="809"/>
      <c r="T73" s="809"/>
      <c r="U73" s="809"/>
      <c r="V73" s="809"/>
      <c r="W73" s="806"/>
      <c r="X73" s="300"/>
      <c r="Y73" s="300"/>
      <c r="Z73" s="804"/>
      <c r="AA73" s="804"/>
      <c r="AB73" s="804"/>
      <c r="AC73" s="809"/>
      <c r="AD73" s="809"/>
      <c r="AE73" s="809"/>
      <c r="AF73" s="809"/>
      <c r="AG73" s="809"/>
      <c r="AH73" s="809"/>
      <c r="AI73" s="806"/>
      <c r="AJ73" s="806"/>
      <c r="AK73" s="806"/>
      <c r="AL73" s="804"/>
      <c r="AM73" s="804"/>
      <c r="AN73" s="804"/>
      <c r="AO73" s="809"/>
      <c r="AP73" s="809"/>
      <c r="AQ73" s="809"/>
      <c r="AR73" s="809"/>
      <c r="AS73" s="809"/>
      <c r="AT73" s="809"/>
      <c r="AU73" s="809"/>
      <c r="AV73" s="806"/>
      <c r="AW73" s="806"/>
      <c r="AX73" s="806"/>
      <c r="AY73" s="804"/>
      <c r="AZ73" s="804"/>
      <c r="BA73" s="804"/>
      <c r="BB73" s="809"/>
      <c r="BC73" s="809"/>
      <c r="BD73" s="809"/>
      <c r="BE73" s="809"/>
      <c r="BF73" s="948"/>
      <c r="BG73" s="948"/>
      <c r="BH73" s="948"/>
      <c r="BI73" s="806"/>
      <c r="BJ73" s="806"/>
      <c r="BK73" s="806"/>
      <c r="BL73" s="804"/>
      <c r="BM73" s="804"/>
      <c r="BN73" s="804"/>
      <c r="BO73" s="809"/>
      <c r="BP73" s="809"/>
      <c r="BQ73" s="809"/>
      <c r="BR73" s="809"/>
      <c r="BS73" s="948"/>
      <c r="BT73" s="948"/>
      <c r="BU73" s="948"/>
      <c r="BV73" s="806"/>
      <c r="BW73" s="486"/>
      <c r="BX73" s="486"/>
      <c r="BY73" s="486"/>
      <c r="BZ73" s="486"/>
      <c r="CA73" s="486"/>
      <c r="CB73" s="486"/>
      <c r="CC73" s="486"/>
      <c r="CD73" s="486"/>
      <c r="CE73" s="486"/>
      <c r="CF73" s="486"/>
      <c r="CG73" s="486"/>
      <c r="CH73" s="486"/>
      <c r="CI73" s="486"/>
      <c r="CJ73" s="486"/>
      <c r="CK73" s="486"/>
      <c r="CL73" s="486"/>
      <c r="CM73" s="486"/>
      <c r="CN73" s="486"/>
      <c r="CO73" s="486"/>
      <c r="CP73" s="486"/>
      <c r="CQ73" s="486"/>
      <c r="CR73" s="486"/>
      <c r="CS73" s="486"/>
      <c r="CT73" s="486"/>
      <c r="CU73" s="486"/>
      <c r="CV73" s="486"/>
      <c r="CW73" s="486"/>
      <c r="CX73" s="486"/>
      <c r="CY73" s="486"/>
      <c r="CZ73" s="486"/>
      <c r="DA73" s="486"/>
      <c r="DB73" s="486"/>
      <c r="DC73" s="486"/>
      <c r="DD73" s="486"/>
      <c r="DE73" s="486"/>
      <c r="DF73" s="486"/>
      <c r="DG73" s="486"/>
      <c r="DH73" s="486"/>
      <c r="DI73" s="486"/>
      <c r="DJ73" s="486"/>
      <c r="DK73" s="486"/>
      <c r="DL73" s="486"/>
      <c r="DM73" s="486"/>
      <c r="DN73" s="486"/>
      <c r="DO73" s="486"/>
      <c r="DP73" s="486"/>
      <c r="DQ73" s="486"/>
      <c r="DR73" s="486"/>
      <c r="DS73" s="486"/>
      <c r="DT73" s="486"/>
      <c r="DU73" s="486"/>
      <c r="DV73" s="486"/>
      <c r="DW73" s="486"/>
      <c r="DX73" s="486"/>
      <c r="DY73" s="486"/>
      <c r="DZ73" s="486"/>
      <c r="EA73" s="486"/>
      <c r="EB73" s="486"/>
      <c r="EC73" s="486"/>
      <c r="ED73" s="486"/>
      <c r="EE73" s="486"/>
      <c r="EF73" s="486"/>
      <c r="EG73" s="486"/>
      <c r="EH73" s="486"/>
      <c r="EI73" s="486"/>
      <c r="EJ73" s="486"/>
      <c r="EK73" s="486"/>
      <c r="EL73" s="486"/>
      <c r="EM73" s="486"/>
      <c r="EN73" s="486"/>
      <c r="EO73" s="486"/>
      <c r="EP73" s="486"/>
      <c r="EQ73" s="486"/>
      <c r="ER73" s="486"/>
      <c r="ES73" s="486"/>
      <c r="ET73" s="486"/>
      <c r="EU73" s="486"/>
      <c r="EV73" s="486"/>
      <c r="EW73" s="486"/>
      <c r="EX73" s="486"/>
      <c r="EY73" s="486"/>
      <c r="EZ73" s="486"/>
      <c r="FA73" s="486"/>
      <c r="FB73" s="486"/>
      <c r="FC73" s="486"/>
      <c r="FD73" s="486"/>
      <c r="FE73" s="486"/>
      <c r="FF73" s="486"/>
      <c r="FG73" s="486"/>
      <c r="FH73" s="486"/>
    </row>
    <row r="74" spans="1:164" ht="15">
      <c r="A74" s="407">
        <f t="shared" si="60"/>
        <v>115</v>
      </c>
      <c r="B74" s="404" t="s">
        <v>636</v>
      </c>
      <c r="C74" s="1097">
        <v>7</v>
      </c>
      <c r="D74" s="404" t="s">
        <v>1137</v>
      </c>
      <c r="E74" s="404"/>
      <c r="F74" s="1064"/>
      <c r="G74" s="1294"/>
      <c r="H74" s="1297"/>
      <c r="I74" s="1297"/>
      <c r="J74" s="1295"/>
      <c r="K74" s="873"/>
      <c r="L74" s="340"/>
      <c r="N74" s="84"/>
      <c r="O74" s="84"/>
      <c r="P74" s="804"/>
      <c r="Q74" s="804"/>
      <c r="R74" s="809"/>
      <c r="S74" s="809"/>
      <c r="T74" s="809"/>
      <c r="U74" s="809"/>
      <c r="V74" s="809"/>
      <c r="W74" s="806"/>
      <c r="X74" s="300"/>
      <c r="Y74" s="300"/>
      <c r="Z74" s="804"/>
      <c r="AA74" s="804"/>
      <c r="AB74" s="804"/>
      <c r="AC74" s="809"/>
      <c r="AD74" s="809"/>
      <c r="AE74" s="809"/>
      <c r="AF74" s="809"/>
      <c r="AG74" s="809"/>
      <c r="AH74" s="809"/>
      <c r="AI74" s="806"/>
      <c r="AJ74" s="806"/>
      <c r="AK74" s="806"/>
      <c r="AL74" s="804"/>
      <c r="AM74" s="804"/>
      <c r="AN74" s="804"/>
      <c r="AO74" s="809"/>
      <c r="AP74" s="809"/>
      <c r="AQ74" s="809"/>
      <c r="AR74" s="809"/>
      <c r="AS74" s="809"/>
      <c r="AT74" s="809"/>
      <c r="AU74" s="809"/>
      <c r="AV74" s="806"/>
      <c r="AW74" s="806"/>
      <c r="AX74" s="806"/>
      <c r="AY74" s="804"/>
      <c r="AZ74" s="804"/>
      <c r="BA74" s="804"/>
      <c r="BB74" s="809"/>
      <c r="BC74" s="809"/>
      <c r="BD74" s="809"/>
      <c r="BE74" s="809"/>
      <c r="BF74" s="948"/>
      <c r="BG74" s="948"/>
      <c r="BH74" s="948"/>
      <c r="BI74" s="806"/>
      <c r="BJ74" s="806"/>
      <c r="BK74" s="806"/>
      <c r="BL74" s="804"/>
      <c r="BM74" s="804"/>
      <c r="BN74" s="804"/>
      <c r="BO74" s="809"/>
      <c r="BP74" s="809"/>
      <c r="BQ74" s="809"/>
      <c r="BR74" s="809"/>
      <c r="BS74" s="948"/>
      <c r="BT74" s="948"/>
      <c r="BU74" s="948"/>
      <c r="BV74" s="806"/>
      <c r="BW74" s="486"/>
      <c r="BX74" s="486"/>
      <c r="BY74" s="486"/>
      <c r="BZ74" s="486"/>
      <c r="CA74" s="486"/>
      <c r="CB74" s="486"/>
      <c r="CC74" s="486"/>
      <c r="CD74" s="486"/>
      <c r="CE74" s="486"/>
      <c r="CF74" s="486"/>
      <c r="CG74" s="486"/>
      <c r="CH74" s="486"/>
      <c r="CI74" s="486"/>
      <c r="CJ74" s="486"/>
      <c r="CK74" s="486"/>
      <c r="CL74" s="486"/>
      <c r="CM74" s="486"/>
      <c r="CN74" s="486"/>
      <c r="CO74" s="486"/>
      <c r="CP74" s="486"/>
      <c r="CQ74" s="486"/>
      <c r="CR74" s="486"/>
      <c r="CS74" s="486"/>
      <c r="CT74" s="486"/>
      <c r="CU74" s="486"/>
      <c r="CV74" s="486"/>
      <c r="CW74" s="486"/>
      <c r="CX74" s="486"/>
      <c r="CY74" s="486"/>
      <c r="CZ74" s="486"/>
      <c r="DA74" s="486"/>
      <c r="DB74" s="486"/>
      <c r="DC74" s="486"/>
      <c r="DD74" s="486"/>
      <c r="DE74" s="486"/>
      <c r="DF74" s="486"/>
      <c r="DG74" s="486"/>
      <c r="DH74" s="486"/>
      <c r="DI74" s="486"/>
      <c r="DJ74" s="486"/>
      <c r="DK74" s="486"/>
      <c r="DL74" s="486"/>
      <c r="DM74" s="486"/>
      <c r="DN74" s="486"/>
      <c r="DO74" s="486"/>
      <c r="DP74" s="486"/>
      <c r="DQ74" s="486"/>
      <c r="DR74" s="486"/>
      <c r="DS74" s="486"/>
      <c r="DT74" s="486"/>
      <c r="DU74" s="486"/>
      <c r="DV74" s="486"/>
      <c r="DW74" s="486"/>
      <c r="DX74" s="486"/>
      <c r="DY74" s="486"/>
      <c r="DZ74" s="486"/>
      <c r="EA74" s="486"/>
      <c r="EB74" s="486"/>
      <c r="EC74" s="486"/>
      <c r="ED74" s="486"/>
      <c r="EE74" s="486"/>
      <c r="EF74" s="486"/>
      <c r="EG74" s="486"/>
      <c r="EH74" s="486"/>
      <c r="EI74" s="486"/>
      <c r="EJ74" s="486"/>
      <c r="EK74" s="486"/>
      <c r="EL74" s="486"/>
      <c r="EM74" s="486"/>
      <c r="EN74" s="486"/>
      <c r="EO74" s="486"/>
      <c r="EP74" s="486"/>
      <c r="EQ74" s="486"/>
      <c r="ER74" s="486"/>
      <c r="ES74" s="486"/>
      <c r="ET74" s="486"/>
      <c r="EU74" s="486"/>
      <c r="EV74" s="486"/>
      <c r="EW74" s="486"/>
      <c r="EX74" s="486"/>
      <c r="EY74" s="486"/>
      <c r="EZ74" s="486"/>
      <c r="FA74" s="486"/>
      <c r="FB74" s="486"/>
      <c r="FC74" s="486"/>
      <c r="FD74" s="486"/>
      <c r="FE74" s="486"/>
      <c r="FF74" s="486"/>
      <c r="FG74" s="486"/>
      <c r="FH74" s="486"/>
    </row>
    <row r="75" spans="1:164" ht="15">
      <c r="A75" s="407">
        <f t="shared" si="60"/>
        <v>116</v>
      </c>
      <c r="B75" s="404" t="s">
        <v>636</v>
      </c>
      <c r="C75" s="1097">
        <v>7</v>
      </c>
      <c r="D75" s="404" t="s">
        <v>1139</v>
      </c>
      <c r="E75" s="404"/>
      <c r="F75" s="1064"/>
      <c r="G75" s="1294"/>
      <c r="H75" s="1297"/>
      <c r="I75" s="1297"/>
      <c r="J75" s="1295"/>
      <c r="K75" s="873"/>
      <c r="L75" s="340"/>
      <c r="N75" s="84"/>
      <c r="O75" s="84"/>
      <c r="P75" s="804"/>
      <c r="Q75" s="804"/>
      <c r="R75" s="809"/>
      <c r="S75" s="809"/>
      <c r="T75" s="809"/>
      <c r="U75" s="809"/>
      <c r="V75" s="809"/>
      <c r="W75" s="806"/>
      <c r="X75" s="300"/>
      <c r="Y75" s="300"/>
      <c r="Z75" s="804"/>
      <c r="AA75" s="804"/>
      <c r="AB75" s="804"/>
      <c r="AC75" s="809"/>
      <c r="AD75" s="809"/>
      <c r="AE75" s="809"/>
      <c r="AF75" s="809"/>
      <c r="AG75" s="809"/>
      <c r="AH75" s="809"/>
      <c r="AI75" s="806"/>
      <c r="AJ75" s="806"/>
      <c r="AK75" s="806"/>
      <c r="AL75" s="804"/>
      <c r="AM75" s="804"/>
      <c r="AN75" s="804"/>
      <c r="AO75" s="809"/>
      <c r="AP75" s="809"/>
      <c r="AQ75" s="809"/>
      <c r="AR75" s="809"/>
      <c r="AS75" s="809"/>
      <c r="AT75" s="809"/>
      <c r="AU75" s="809"/>
      <c r="AV75" s="806"/>
      <c r="AW75" s="806"/>
      <c r="AX75" s="806"/>
      <c r="AY75" s="804"/>
      <c r="AZ75" s="804"/>
      <c r="BA75" s="804"/>
      <c r="BB75" s="809"/>
      <c r="BC75" s="809"/>
      <c r="BD75" s="809"/>
      <c r="BE75" s="809"/>
      <c r="BF75" s="948"/>
      <c r="BG75" s="948"/>
      <c r="BH75" s="948"/>
      <c r="BI75" s="806"/>
      <c r="BJ75" s="806"/>
      <c r="BK75" s="806"/>
      <c r="BL75" s="804"/>
      <c r="BM75" s="804"/>
      <c r="BN75" s="804"/>
      <c r="BO75" s="809"/>
      <c r="BP75" s="809"/>
      <c r="BQ75" s="809"/>
      <c r="BR75" s="809"/>
      <c r="BS75" s="948"/>
      <c r="BT75" s="948"/>
      <c r="BU75" s="948"/>
      <c r="BV75" s="806"/>
      <c r="BW75" s="486"/>
      <c r="BX75" s="486"/>
      <c r="BY75" s="486"/>
      <c r="BZ75" s="486"/>
      <c r="CA75" s="486"/>
      <c r="CB75" s="486"/>
      <c r="CC75" s="486"/>
      <c r="CD75" s="486"/>
      <c r="CE75" s="486"/>
      <c r="CF75" s="486"/>
      <c r="CG75" s="486"/>
      <c r="CH75" s="486"/>
      <c r="CI75" s="486"/>
      <c r="CJ75" s="486"/>
      <c r="CK75" s="486"/>
      <c r="CL75" s="486"/>
      <c r="CM75" s="486"/>
      <c r="CN75" s="486"/>
      <c r="CO75" s="486"/>
      <c r="CP75" s="486"/>
      <c r="CQ75" s="486"/>
      <c r="CR75" s="486"/>
      <c r="CS75" s="486"/>
      <c r="CT75" s="486"/>
      <c r="CU75" s="486"/>
      <c r="CV75" s="486"/>
      <c r="CW75" s="486"/>
      <c r="CX75" s="486"/>
      <c r="CY75" s="486"/>
      <c r="CZ75" s="486"/>
      <c r="DA75" s="486"/>
      <c r="DB75" s="486"/>
      <c r="DC75" s="486"/>
      <c r="DD75" s="486"/>
      <c r="DE75" s="486"/>
      <c r="DF75" s="486"/>
      <c r="DG75" s="486"/>
      <c r="DH75" s="486"/>
      <c r="DI75" s="486"/>
      <c r="DJ75" s="486"/>
      <c r="DK75" s="486"/>
      <c r="DL75" s="486"/>
      <c r="DM75" s="486"/>
      <c r="DN75" s="486"/>
      <c r="DO75" s="486"/>
      <c r="DP75" s="486"/>
      <c r="DQ75" s="486"/>
      <c r="DR75" s="486"/>
      <c r="DS75" s="486"/>
      <c r="DT75" s="486"/>
      <c r="DU75" s="486"/>
      <c r="DV75" s="486"/>
      <c r="DW75" s="486"/>
      <c r="DX75" s="486"/>
      <c r="DY75" s="486"/>
      <c r="DZ75" s="486"/>
      <c r="EA75" s="486"/>
      <c r="EB75" s="486"/>
      <c r="EC75" s="486"/>
      <c r="ED75" s="486"/>
      <c r="EE75" s="486"/>
      <c r="EF75" s="486"/>
      <c r="EG75" s="486"/>
      <c r="EH75" s="486"/>
      <c r="EI75" s="486"/>
      <c r="EJ75" s="486"/>
      <c r="EK75" s="486"/>
      <c r="EL75" s="486"/>
      <c r="EM75" s="486"/>
      <c r="EN75" s="486"/>
      <c r="EO75" s="486"/>
      <c r="EP75" s="486"/>
      <c r="EQ75" s="486"/>
      <c r="ER75" s="486"/>
      <c r="ES75" s="486"/>
      <c r="ET75" s="486"/>
      <c r="EU75" s="486"/>
      <c r="EV75" s="486"/>
      <c r="EW75" s="486"/>
      <c r="EX75" s="486"/>
      <c r="EY75" s="486"/>
      <c r="EZ75" s="486"/>
      <c r="FA75" s="486"/>
      <c r="FB75" s="486"/>
      <c r="FC75" s="486"/>
      <c r="FD75" s="486"/>
      <c r="FE75" s="486"/>
      <c r="FF75" s="486"/>
      <c r="FG75" s="486"/>
      <c r="FH75" s="486"/>
    </row>
    <row r="76" spans="1:164" ht="15">
      <c r="A76" s="407">
        <f t="shared" si="60"/>
        <v>117</v>
      </c>
      <c r="B76" s="404" t="s">
        <v>636</v>
      </c>
      <c r="C76" s="1097">
        <v>8</v>
      </c>
      <c r="D76" s="404" t="s">
        <v>1223</v>
      </c>
      <c r="E76" s="404"/>
      <c r="F76" s="1064"/>
      <c r="G76" s="1294"/>
      <c r="H76" s="1297"/>
      <c r="I76" s="1297"/>
      <c r="J76" s="1295"/>
      <c r="K76" s="873"/>
      <c r="L76" s="340"/>
      <c r="N76" s="84"/>
      <c r="O76" s="84"/>
      <c r="P76" s="804"/>
      <c r="Q76" s="804"/>
      <c r="R76" s="809"/>
      <c r="S76" s="809"/>
      <c r="T76" s="809"/>
      <c r="U76" s="809"/>
      <c r="V76" s="809"/>
      <c r="W76" s="806"/>
      <c r="X76" s="300"/>
      <c r="Y76" s="300"/>
      <c r="Z76" s="804"/>
      <c r="AA76" s="804"/>
      <c r="AB76" s="804"/>
      <c r="AC76" s="809"/>
      <c r="AD76" s="809"/>
      <c r="AE76" s="809"/>
      <c r="AF76" s="809"/>
      <c r="AG76" s="809"/>
      <c r="AH76" s="809"/>
      <c r="AI76" s="806"/>
      <c r="AJ76" s="806"/>
      <c r="AK76" s="806"/>
      <c r="AL76" s="804"/>
      <c r="AM76" s="804"/>
      <c r="AN76" s="804"/>
      <c r="AO76" s="809"/>
      <c r="AP76" s="809"/>
      <c r="AQ76" s="809"/>
      <c r="AR76" s="809"/>
      <c r="AS76" s="809"/>
      <c r="AT76" s="809"/>
      <c r="AU76" s="809"/>
      <c r="AV76" s="806"/>
      <c r="AW76" s="806"/>
      <c r="AX76" s="806"/>
      <c r="AY76" s="804"/>
      <c r="AZ76" s="804"/>
      <c r="BA76" s="804"/>
      <c r="BB76" s="809"/>
      <c r="BC76" s="809"/>
      <c r="BD76" s="809"/>
      <c r="BE76" s="809"/>
      <c r="BF76" s="948"/>
      <c r="BG76" s="948"/>
      <c r="BH76" s="948"/>
      <c r="BI76" s="806"/>
      <c r="BJ76" s="806"/>
      <c r="BK76" s="806"/>
      <c r="BL76" s="804"/>
      <c r="BM76" s="804"/>
      <c r="BN76" s="804"/>
      <c r="BO76" s="809"/>
      <c r="BP76" s="809"/>
      <c r="BQ76" s="809"/>
      <c r="BR76" s="809"/>
      <c r="BS76" s="948"/>
      <c r="BT76" s="948"/>
      <c r="BU76" s="948"/>
      <c r="BV76" s="806"/>
      <c r="BW76" s="486"/>
      <c r="BX76" s="486"/>
      <c r="BY76" s="486"/>
      <c r="BZ76" s="486"/>
      <c r="CA76" s="486"/>
      <c r="CB76" s="486"/>
      <c r="CC76" s="486"/>
      <c r="CD76" s="486"/>
      <c r="CE76" s="486"/>
      <c r="CF76" s="486"/>
      <c r="CG76" s="486"/>
      <c r="CH76" s="486"/>
      <c r="CI76" s="486"/>
      <c r="CJ76" s="486"/>
      <c r="CK76" s="486"/>
      <c r="CL76" s="486"/>
      <c r="CM76" s="486"/>
      <c r="CN76" s="486"/>
      <c r="CO76" s="486"/>
      <c r="CP76" s="486"/>
      <c r="CQ76" s="486"/>
      <c r="CR76" s="486"/>
      <c r="CS76" s="486"/>
      <c r="CT76" s="486"/>
      <c r="CU76" s="486"/>
      <c r="CV76" s="486"/>
      <c r="CW76" s="486"/>
      <c r="CX76" s="486"/>
      <c r="CY76" s="486"/>
      <c r="CZ76" s="486"/>
      <c r="DA76" s="486"/>
      <c r="DB76" s="486"/>
      <c r="DC76" s="486"/>
      <c r="DD76" s="486"/>
      <c r="DE76" s="486"/>
      <c r="DF76" s="486"/>
      <c r="DG76" s="486"/>
      <c r="DH76" s="486"/>
      <c r="DI76" s="486"/>
      <c r="DJ76" s="486"/>
      <c r="DK76" s="486"/>
      <c r="DL76" s="486"/>
      <c r="DM76" s="486"/>
      <c r="DN76" s="486"/>
      <c r="DO76" s="486"/>
      <c r="DP76" s="486"/>
      <c r="DQ76" s="486"/>
      <c r="DR76" s="486"/>
      <c r="DS76" s="486"/>
      <c r="DT76" s="486"/>
      <c r="DU76" s="486"/>
      <c r="DV76" s="486"/>
      <c r="DW76" s="486"/>
      <c r="DX76" s="486"/>
      <c r="DY76" s="486"/>
      <c r="DZ76" s="486"/>
      <c r="EA76" s="486"/>
      <c r="EB76" s="486"/>
      <c r="EC76" s="486"/>
      <c r="ED76" s="486"/>
      <c r="EE76" s="486"/>
      <c r="EF76" s="486"/>
      <c r="EG76" s="486"/>
      <c r="EH76" s="486"/>
      <c r="EI76" s="486"/>
      <c r="EJ76" s="486"/>
      <c r="EK76" s="486"/>
      <c r="EL76" s="486"/>
      <c r="EM76" s="486"/>
      <c r="EN76" s="486"/>
      <c r="EO76" s="486"/>
      <c r="EP76" s="486"/>
      <c r="EQ76" s="486"/>
      <c r="ER76" s="486"/>
      <c r="ES76" s="486"/>
      <c r="ET76" s="486"/>
      <c r="EU76" s="486"/>
      <c r="EV76" s="486"/>
      <c r="EW76" s="486"/>
      <c r="EX76" s="486"/>
      <c r="EY76" s="486"/>
      <c r="EZ76" s="486"/>
      <c r="FA76" s="486"/>
      <c r="FB76" s="486"/>
      <c r="FC76" s="486"/>
      <c r="FD76" s="486"/>
      <c r="FE76" s="486"/>
      <c r="FF76" s="486"/>
      <c r="FG76" s="486"/>
      <c r="FH76" s="486"/>
    </row>
    <row r="77" spans="1:164" ht="15">
      <c r="A77" s="407">
        <f t="shared" si="60"/>
        <v>118</v>
      </c>
      <c r="B77" s="404" t="s">
        <v>636</v>
      </c>
      <c r="C77" s="1097">
        <v>8</v>
      </c>
      <c r="D77" s="404" t="s">
        <v>1224</v>
      </c>
      <c r="E77" s="404"/>
      <c r="F77" s="1064"/>
      <c r="G77" s="1294"/>
      <c r="H77" s="1297"/>
      <c r="I77" s="1297"/>
      <c r="J77" s="1295"/>
      <c r="K77" s="873"/>
      <c r="L77" s="340"/>
      <c r="N77" s="84"/>
      <c r="O77" s="84"/>
      <c r="P77" s="804"/>
      <c r="Q77" s="804"/>
      <c r="R77" s="809"/>
      <c r="S77" s="809"/>
      <c r="T77" s="809"/>
      <c r="U77" s="809"/>
      <c r="V77" s="809"/>
      <c r="W77" s="806"/>
      <c r="X77" s="300"/>
      <c r="Y77" s="300"/>
      <c r="Z77" s="804"/>
      <c r="AA77" s="804"/>
      <c r="AB77" s="804"/>
      <c r="AC77" s="809"/>
      <c r="AD77" s="809"/>
      <c r="AE77" s="809"/>
      <c r="AF77" s="809"/>
      <c r="AG77" s="809"/>
      <c r="AH77" s="809"/>
      <c r="AI77" s="806"/>
      <c r="AJ77" s="806"/>
      <c r="AK77" s="806"/>
      <c r="AL77" s="804"/>
      <c r="AM77" s="804"/>
      <c r="AN77" s="804"/>
      <c r="AO77" s="809"/>
      <c r="AP77" s="809"/>
      <c r="AQ77" s="809"/>
      <c r="AR77" s="809"/>
      <c r="AS77" s="809"/>
      <c r="AT77" s="809"/>
      <c r="AU77" s="809"/>
      <c r="AV77" s="806"/>
      <c r="AW77" s="806"/>
      <c r="AX77" s="806"/>
      <c r="AY77" s="804"/>
      <c r="AZ77" s="804"/>
      <c r="BA77" s="804"/>
      <c r="BB77" s="809"/>
      <c r="BC77" s="809"/>
      <c r="BD77" s="809"/>
      <c r="BE77" s="809"/>
      <c r="BF77" s="948"/>
      <c r="BG77" s="948"/>
      <c r="BH77" s="948"/>
      <c r="BI77" s="806"/>
      <c r="BJ77" s="806"/>
      <c r="BK77" s="806"/>
      <c r="BL77" s="804"/>
      <c r="BM77" s="804"/>
      <c r="BN77" s="804"/>
      <c r="BO77" s="809"/>
      <c r="BP77" s="809"/>
      <c r="BQ77" s="809"/>
      <c r="BR77" s="809"/>
      <c r="BS77" s="948"/>
      <c r="BT77" s="948"/>
      <c r="BU77" s="948"/>
      <c r="BV77" s="806"/>
      <c r="BW77" s="486"/>
      <c r="BX77" s="486"/>
      <c r="BY77" s="486"/>
      <c r="BZ77" s="486"/>
      <c r="CA77" s="486"/>
      <c r="CB77" s="486"/>
      <c r="CC77" s="486"/>
      <c r="CD77" s="486"/>
      <c r="CE77" s="486"/>
      <c r="CF77" s="486"/>
      <c r="CG77" s="486"/>
      <c r="CH77" s="486"/>
      <c r="CI77" s="486"/>
      <c r="CJ77" s="486"/>
      <c r="CK77" s="486"/>
      <c r="CL77" s="486"/>
      <c r="CM77" s="486"/>
      <c r="CN77" s="486"/>
      <c r="CO77" s="486"/>
      <c r="CP77" s="486"/>
      <c r="CQ77" s="486"/>
      <c r="CR77" s="486"/>
      <c r="CS77" s="486"/>
      <c r="CT77" s="486"/>
      <c r="CU77" s="486"/>
      <c r="CV77" s="486"/>
      <c r="CW77" s="486"/>
      <c r="CX77" s="486"/>
      <c r="CY77" s="486"/>
      <c r="CZ77" s="486"/>
      <c r="DA77" s="486"/>
      <c r="DB77" s="486"/>
      <c r="DC77" s="486"/>
      <c r="DD77" s="486"/>
      <c r="DE77" s="486"/>
      <c r="DF77" s="486"/>
      <c r="DG77" s="486"/>
      <c r="DH77" s="486"/>
      <c r="DI77" s="486"/>
      <c r="DJ77" s="486"/>
      <c r="DK77" s="486"/>
      <c r="DL77" s="486"/>
      <c r="DM77" s="486"/>
      <c r="DN77" s="486"/>
      <c r="DO77" s="486"/>
      <c r="DP77" s="486"/>
      <c r="DQ77" s="486"/>
      <c r="DR77" s="486"/>
      <c r="DS77" s="486"/>
      <c r="DT77" s="486"/>
      <c r="DU77" s="486"/>
      <c r="DV77" s="486"/>
      <c r="DW77" s="486"/>
      <c r="DX77" s="486"/>
      <c r="DY77" s="486"/>
      <c r="DZ77" s="486"/>
      <c r="EA77" s="486"/>
      <c r="EB77" s="486"/>
      <c r="EC77" s="486"/>
      <c r="ED77" s="486"/>
      <c r="EE77" s="486"/>
      <c r="EF77" s="486"/>
      <c r="EG77" s="486"/>
      <c r="EH77" s="486"/>
      <c r="EI77" s="486"/>
      <c r="EJ77" s="486"/>
      <c r="EK77" s="486"/>
      <c r="EL77" s="486"/>
      <c r="EM77" s="486"/>
      <c r="EN77" s="486"/>
      <c r="EO77" s="486"/>
      <c r="EP77" s="486"/>
      <c r="EQ77" s="486"/>
      <c r="ER77" s="486"/>
      <c r="ES77" s="486"/>
      <c r="ET77" s="486"/>
      <c r="EU77" s="486"/>
      <c r="EV77" s="486"/>
      <c r="EW77" s="486"/>
      <c r="EX77" s="486"/>
      <c r="EY77" s="486"/>
      <c r="EZ77" s="486"/>
      <c r="FA77" s="486"/>
      <c r="FB77" s="486"/>
      <c r="FC77" s="486"/>
      <c r="FD77" s="486"/>
      <c r="FE77" s="486"/>
      <c r="FF77" s="486"/>
      <c r="FG77" s="486"/>
      <c r="FH77" s="486"/>
    </row>
    <row r="78" spans="1:164" ht="15">
      <c r="A78" s="407">
        <f t="shared" si="60"/>
        <v>119</v>
      </c>
      <c r="B78" s="404" t="s">
        <v>636</v>
      </c>
      <c r="C78" s="1097">
        <v>8</v>
      </c>
      <c r="D78" s="404" t="s">
        <v>1225</v>
      </c>
      <c r="E78" s="404"/>
      <c r="F78" s="1064"/>
      <c r="G78" s="1294"/>
      <c r="H78" s="1297"/>
      <c r="I78" s="1297"/>
      <c r="J78" s="1295"/>
      <c r="K78" s="873"/>
      <c r="L78" s="340"/>
      <c r="N78" s="84"/>
      <c r="O78" s="84"/>
      <c r="P78" s="804"/>
      <c r="Q78" s="804"/>
      <c r="R78" s="809"/>
      <c r="S78" s="809"/>
      <c r="T78" s="809"/>
      <c r="U78" s="809"/>
      <c r="V78" s="809"/>
      <c r="W78" s="806"/>
      <c r="X78" s="300"/>
      <c r="Y78" s="300"/>
      <c r="Z78" s="804"/>
      <c r="AA78" s="804"/>
      <c r="AB78" s="804"/>
      <c r="AC78" s="809"/>
      <c r="AD78" s="809"/>
      <c r="AE78" s="809"/>
      <c r="AF78" s="809"/>
      <c r="AG78" s="809"/>
      <c r="AH78" s="809"/>
      <c r="AI78" s="806"/>
      <c r="AJ78" s="806"/>
      <c r="AK78" s="806"/>
      <c r="AL78" s="804"/>
      <c r="AM78" s="804"/>
      <c r="AN78" s="804"/>
      <c r="AO78" s="809"/>
      <c r="AP78" s="809"/>
      <c r="AQ78" s="809"/>
      <c r="AR78" s="809"/>
      <c r="AS78" s="809"/>
      <c r="AT78" s="809"/>
      <c r="AU78" s="809"/>
      <c r="AV78" s="806"/>
      <c r="AW78" s="806"/>
      <c r="AX78" s="806"/>
      <c r="AY78" s="804"/>
      <c r="AZ78" s="804"/>
      <c r="BA78" s="804"/>
      <c r="BB78" s="809"/>
      <c r="BC78" s="809"/>
      <c r="BD78" s="809"/>
      <c r="BE78" s="809"/>
      <c r="BF78" s="948"/>
      <c r="BG78" s="948"/>
      <c r="BH78" s="948"/>
      <c r="BI78" s="806"/>
      <c r="BJ78" s="806"/>
      <c r="BK78" s="806"/>
      <c r="BL78" s="804"/>
      <c r="BM78" s="804"/>
      <c r="BN78" s="804"/>
      <c r="BO78" s="809"/>
      <c r="BP78" s="809"/>
      <c r="BQ78" s="809"/>
      <c r="BR78" s="809"/>
      <c r="BS78" s="948"/>
      <c r="BT78" s="948"/>
      <c r="BU78" s="948"/>
      <c r="BV78" s="806"/>
      <c r="BW78" s="486"/>
      <c r="BX78" s="486"/>
      <c r="BY78" s="486"/>
      <c r="BZ78" s="486"/>
      <c r="CA78" s="486"/>
      <c r="CB78" s="486"/>
      <c r="CC78" s="486"/>
      <c r="CD78" s="486"/>
      <c r="CE78" s="486"/>
      <c r="CF78" s="486"/>
      <c r="CG78" s="486"/>
      <c r="CH78" s="486"/>
      <c r="CI78" s="486"/>
      <c r="CJ78" s="486"/>
      <c r="CK78" s="486"/>
      <c r="CL78" s="486"/>
      <c r="CM78" s="486"/>
      <c r="CN78" s="486"/>
      <c r="CO78" s="486"/>
      <c r="CP78" s="486"/>
      <c r="CQ78" s="486"/>
      <c r="CR78" s="486"/>
      <c r="CS78" s="486"/>
      <c r="CT78" s="486"/>
      <c r="CU78" s="486"/>
      <c r="CV78" s="486"/>
      <c r="CW78" s="486"/>
      <c r="CX78" s="486"/>
      <c r="CY78" s="486"/>
      <c r="CZ78" s="486"/>
      <c r="DA78" s="486"/>
      <c r="DB78" s="486"/>
      <c r="DC78" s="486"/>
      <c r="DD78" s="486"/>
      <c r="DE78" s="486"/>
      <c r="DF78" s="486"/>
      <c r="DG78" s="486"/>
      <c r="DH78" s="486"/>
      <c r="DI78" s="486"/>
      <c r="DJ78" s="486"/>
      <c r="DK78" s="486"/>
      <c r="DL78" s="486"/>
      <c r="DM78" s="486"/>
      <c r="DN78" s="486"/>
      <c r="DO78" s="486"/>
      <c r="DP78" s="486"/>
      <c r="DQ78" s="486"/>
      <c r="DR78" s="486"/>
      <c r="DS78" s="486"/>
      <c r="DT78" s="486"/>
      <c r="DU78" s="486"/>
      <c r="DV78" s="486"/>
      <c r="DW78" s="486"/>
      <c r="DX78" s="486"/>
      <c r="DY78" s="486"/>
      <c r="DZ78" s="486"/>
      <c r="EA78" s="486"/>
      <c r="EB78" s="486"/>
      <c r="EC78" s="486"/>
      <c r="ED78" s="486"/>
      <c r="EE78" s="486"/>
      <c r="EF78" s="486"/>
      <c r="EG78" s="486"/>
      <c r="EH78" s="486"/>
      <c r="EI78" s="486"/>
      <c r="EJ78" s="486"/>
      <c r="EK78" s="486"/>
      <c r="EL78" s="486"/>
      <c r="EM78" s="486"/>
      <c r="EN78" s="486"/>
      <c r="EO78" s="486"/>
      <c r="EP78" s="486"/>
      <c r="EQ78" s="486"/>
      <c r="ER78" s="486"/>
      <c r="ES78" s="486"/>
      <c r="ET78" s="486"/>
      <c r="EU78" s="486"/>
      <c r="EV78" s="486"/>
      <c r="EW78" s="486"/>
      <c r="EX78" s="486"/>
      <c r="EY78" s="486"/>
      <c r="EZ78" s="486"/>
      <c r="FA78" s="486"/>
      <c r="FB78" s="486"/>
      <c r="FC78" s="486"/>
      <c r="FD78" s="486"/>
      <c r="FE78" s="486"/>
      <c r="FF78" s="486"/>
      <c r="FG78" s="486"/>
      <c r="FH78" s="486"/>
    </row>
    <row r="79" spans="1:164" ht="15">
      <c r="A79" s="407">
        <f t="shared" si="60"/>
        <v>120</v>
      </c>
      <c r="B79" s="404" t="s">
        <v>636</v>
      </c>
      <c r="C79" s="1097">
        <v>9</v>
      </c>
      <c r="D79" s="404" t="s">
        <v>1226</v>
      </c>
      <c r="E79" s="404"/>
      <c r="F79" s="1064"/>
      <c r="G79" s="1294"/>
      <c r="H79" s="1297"/>
      <c r="I79" s="1297"/>
      <c r="J79" s="1295"/>
      <c r="K79" s="873"/>
      <c r="L79" s="340"/>
      <c r="N79" s="84"/>
      <c r="O79" s="84"/>
      <c r="P79" s="804"/>
      <c r="Q79" s="804"/>
      <c r="R79" s="809"/>
      <c r="S79" s="809"/>
      <c r="T79" s="809"/>
      <c r="U79" s="809"/>
      <c r="V79" s="809"/>
      <c r="W79" s="806"/>
      <c r="X79" s="300"/>
      <c r="Y79" s="300"/>
      <c r="Z79" s="804"/>
      <c r="AA79" s="804"/>
      <c r="AB79" s="804"/>
      <c r="AC79" s="809"/>
      <c r="AD79" s="809"/>
      <c r="AE79" s="809"/>
      <c r="AF79" s="809"/>
      <c r="AG79" s="809"/>
      <c r="AH79" s="809"/>
      <c r="AI79" s="806"/>
      <c r="AJ79" s="806"/>
      <c r="AK79" s="806"/>
      <c r="AL79" s="804"/>
      <c r="AM79" s="804"/>
      <c r="AN79" s="804"/>
      <c r="AO79" s="809"/>
      <c r="AP79" s="809"/>
      <c r="AQ79" s="809"/>
      <c r="AR79" s="809"/>
      <c r="AS79" s="809"/>
      <c r="AT79" s="809"/>
      <c r="AU79" s="809"/>
      <c r="AV79" s="806"/>
      <c r="AW79" s="806"/>
      <c r="AX79" s="806"/>
      <c r="AY79" s="804"/>
      <c r="AZ79" s="804"/>
      <c r="BA79" s="804"/>
      <c r="BB79" s="809"/>
      <c r="BC79" s="809"/>
      <c r="BD79" s="809"/>
      <c r="BE79" s="809"/>
      <c r="BF79" s="948"/>
      <c r="BG79" s="948"/>
      <c r="BH79" s="948"/>
      <c r="BI79" s="806"/>
      <c r="BJ79" s="806"/>
      <c r="BK79" s="806"/>
      <c r="BL79" s="804"/>
      <c r="BM79" s="804"/>
      <c r="BN79" s="804"/>
      <c r="BO79" s="809"/>
      <c r="BP79" s="809"/>
      <c r="BQ79" s="809"/>
      <c r="BR79" s="809"/>
      <c r="BS79" s="948"/>
      <c r="BT79" s="948"/>
      <c r="BU79" s="948"/>
      <c r="BV79" s="806"/>
      <c r="BW79" s="486"/>
      <c r="BX79" s="486"/>
      <c r="BY79" s="486"/>
      <c r="BZ79" s="486"/>
      <c r="CA79" s="486"/>
      <c r="CB79" s="486"/>
      <c r="CC79" s="486"/>
      <c r="CD79" s="486"/>
      <c r="CE79" s="486"/>
      <c r="CF79" s="486"/>
      <c r="CG79" s="486"/>
      <c r="CH79" s="486"/>
      <c r="CI79" s="486"/>
      <c r="CJ79" s="486"/>
      <c r="CK79" s="486"/>
      <c r="CL79" s="486"/>
      <c r="CM79" s="486"/>
      <c r="CN79" s="486"/>
      <c r="CO79" s="486"/>
      <c r="CP79" s="486"/>
      <c r="CQ79" s="486"/>
      <c r="CR79" s="486"/>
      <c r="CS79" s="486"/>
      <c r="CT79" s="486"/>
      <c r="CU79" s="486"/>
      <c r="CV79" s="486"/>
      <c r="CW79" s="486"/>
      <c r="CX79" s="486"/>
      <c r="CY79" s="486"/>
      <c r="CZ79" s="486"/>
      <c r="DA79" s="486"/>
      <c r="DB79" s="486"/>
      <c r="DC79" s="486"/>
      <c r="DD79" s="486"/>
      <c r="DE79" s="486"/>
      <c r="DF79" s="486"/>
      <c r="DG79" s="486"/>
      <c r="DH79" s="486"/>
      <c r="DI79" s="486"/>
      <c r="DJ79" s="486"/>
      <c r="DK79" s="486"/>
      <c r="DL79" s="486"/>
      <c r="DM79" s="486"/>
      <c r="DN79" s="486"/>
      <c r="DO79" s="486"/>
      <c r="DP79" s="486"/>
      <c r="DQ79" s="486"/>
      <c r="DR79" s="486"/>
      <c r="DS79" s="486"/>
      <c r="DT79" s="486"/>
      <c r="DU79" s="486"/>
      <c r="DV79" s="486"/>
      <c r="DW79" s="486"/>
      <c r="DX79" s="486"/>
      <c r="DY79" s="486"/>
      <c r="DZ79" s="486"/>
      <c r="EA79" s="486"/>
      <c r="EB79" s="486"/>
      <c r="EC79" s="486"/>
      <c r="ED79" s="486"/>
      <c r="EE79" s="486"/>
      <c r="EF79" s="486"/>
      <c r="EG79" s="486"/>
      <c r="EH79" s="486"/>
      <c r="EI79" s="486"/>
      <c r="EJ79" s="486"/>
      <c r="EK79" s="486"/>
      <c r="EL79" s="486"/>
      <c r="EM79" s="486"/>
      <c r="EN79" s="486"/>
      <c r="EO79" s="486"/>
      <c r="EP79" s="486"/>
      <c r="EQ79" s="486"/>
      <c r="ER79" s="486"/>
      <c r="ES79" s="486"/>
      <c r="ET79" s="486"/>
      <c r="EU79" s="486"/>
      <c r="EV79" s="486"/>
      <c r="EW79" s="486"/>
      <c r="EX79" s="486"/>
      <c r="EY79" s="486"/>
      <c r="EZ79" s="486"/>
      <c r="FA79" s="486"/>
      <c r="FB79" s="486"/>
      <c r="FC79" s="486"/>
      <c r="FD79" s="486"/>
      <c r="FE79" s="486"/>
      <c r="FF79" s="486"/>
      <c r="FG79" s="486"/>
      <c r="FH79" s="486"/>
    </row>
    <row r="80" spans="1:164" ht="15">
      <c r="A80" s="407">
        <f t="shared" si="60"/>
        <v>121</v>
      </c>
      <c r="B80" s="404" t="s">
        <v>636</v>
      </c>
      <c r="C80" s="1097">
        <v>9</v>
      </c>
      <c r="D80" s="404" t="s">
        <v>1227</v>
      </c>
      <c r="E80" s="404"/>
      <c r="F80" s="1064"/>
      <c r="G80" s="1294"/>
      <c r="H80" s="1297"/>
      <c r="I80" s="1297"/>
      <c r="J80" s="1295"/>
      <c r="K80" s="873"/>
      <c r="L80" s="340"/>
      <c r="N80" s="84"/>
      <c r="O80" s="84"/>
      <c r="P80" s="804"/>
      <c r="Q80" s="804"/>
      <c r="R80" s="809"/>
      <c r="S80" s="809"/>
      <c r="T80" s="809"/>
      <c r="U80" s="809"/>
      <c r="V80" s="809"/>
      <c r="W80" s="806"/>
      <c r="X80" s="300"/>
      <c r="Y80" s="300"/>
      <c r="Z80" s="804"/>
      <c r="AA80" s="804"/>
      <c r="AB80" s="804"/>
      <c r="AC80" s="809"/>
      <c r="AD80" s="809"/>
      <c r="AE80" s="809"/>
      <c r="AF80" s="809"/>
      <c r="AG80" s="809"/>
      <c r="AH80" s="809"/>
      <c r="AI80" s="806"/>
      <c r="AJ80" s="806"/>
      <c r="AK80" s="806"/>
      <c r="AL80" s="804"/>
      <c r="AM80" s="804"/>
      <c r="AN80" s="804"/>
      <c r="AO80" s="809"/>
      <c r="AP80" s="809"/>
      <c r="AQ80" s="809"/>
      <c r="AR80" s="809"/>
      <c r="AS80" s="809"/>
      <c r="AT80" s="809"/>
      <c r="AU80" s="809"/>
      <c r="AV80" s="806"/>
      <c r="AW80" s="806"/>
      <c r="AX80" s="806"/>
      <c r="AY80" s="804"/>
      <c r="AZ80" s="804"/>
      <c r="BA80" s="804"/>
      <c r="BB80" s="809"/>
      <c r="BC80" s="809"/>
      <c r="BD80" s="809"/>
      <c r="BE80" s="809"/>
      <c r="BF80" s="948"/>
      <c r="BG80" s="948"/>
      <c r="BH80" s="948"/>
      <c r="BI80" s="806"/>
      <c r="BJ80" s="806"/>
      <c r="BK80" s="806"/>
      <c r="BL80" s="804"/>
      <c r="BM80" s="804"/>
      <c r="BN80" s="804"/>
      <c r="BO80" s="809"/>
      <c r="BP80" s="809"/>
      <c r="BQ80" s="809"/>
      <c r="BR80" s="809"/>
      <c r="BS80" s="948"/>
      <c r="BT80" s="948"/>
      <c r="BU80" s="948"/>
      <c r="BV80" s="806"/>
      <c r="BW80" s="486"/>
      <c r="BX80" s="486"/>
      <c r="BY80" s="486"/>
      <c r="BZ80" s="486"/>
      <c r="CA80" s="486"/>
      <c r="CB80" s="486"/>
      <c r="CC80" s="486"/>
      <c r="CD80" s="486"/>
      <c r="CE80" s="486"/>
      <c r="CF80" s="486"/>
      <c r="CG80" s="486"/>
      <c r="CH80" s="486"/>
      <c r="CI80" s="486"/>
      <c r="CJ80" s="486"/>
      <c r="CK80" s="486"/>
      <c r="CL80" s="486"/>
      <c r="CM80" s="486"/>
      <c r="CN80" s="486"/>
      <c r="CO80" s="486"/>
      <c r="CP80" s="486"/>
      <c r="CQ80" s="486"/>
      <c r="CR80" s="486"/>
      <c r="CS80" s="486"/>
      <c r="CT80" s="486"/>
      <c r="CU80" s="486"/>
      <c r="CV80" s="486"/>
      <c r="CW80" s="486"/>
      <c r="CX80" s="486"/>
      <c r="CY80" s="486"/>
      <c r="CZ80" s="486"/>
      <c r="DA80" s="486"/>
      <c r="DB80" s="486"/>
      <c r="DC80" s="486"/>
      <c r="DD80" s="486"/>
      <c r="DE80" s="486"/>
      <c r="DF80" s="486"/>
      <c r="DG80" s="486"/>
      <c r="DH80" s="486"/>
      <c r="DI80" s="486"/>
      <c r="DJ80" s="486"/>
      <c r="DK80" s="486"/>
      <c r="DL80" s="486"/>
      <c r="DM80" s="486"/>
      <c r="DN80" s="486"/>
      <c r="DO80" s="486"/>
      <c r="DP80" s="486"/>
      <c r="DQ80" s="486"/>
      <c r="DR80" s="486"/>
      <c r="DS80" s="486"/>
      <c r="DT80" s="486"/>
      <c r="DU80" s="486"/>
      <c r="DV80" s="486"/>
      <c r="DW80" s="486"/>
      <c r="DX80" s="486"/>
      <c r="DY80" s="486"/>
      <c r="DZ80" s="486"/>
      <c r="EA80" s="486"/>
      <c r="EB80" s="486"/>
      <c r="EC80" s="486"/>
      <c r="ED80" s="486"/>
      <c r="EE80" s="486"/>
      <c r="EF80" s="486"/>
      <c r="EG80" s="486"/>
      <c r="EH80" s="486"/>
      <c r="EI80" s="486"/>
      <c r="EJ80" s="486"/>
      <c r="EK80" s="486"/>
      <c r="EL80" s="486"/>
      <c r="EM80" s="486"/>
      <c r="EN80" s="486"/>
      <c r="EO80" s="486"/>
      <c r="EP80" s="486"/>
      <c r="EQ80" s="486"/>
      <c r="ER80" s="486"/>
      <c r="ES80" s="486"/>
      <c r="ET80" s="486"/>
      <c r="EU80" s="486"/>
      <c r="EV80" s="486"/>
      <c r="EW80" s="486"/>
      <c r="EX80" s="486"/>
      <c r="EY80" s="486"/>
      <c r="EZ80" s="486"/>
      <c r="FA80" s="486"/>
      <c r="FB80" s="486"/>
      <c r="FC80" s="486"/>
      <c r="FD80" s="486"/>
      <c r="FE80" s="486"/>
      <c r="FF80" s="486"/>
      <c r="FG80" s="486"/>
      <c r="FH80" s="486"/>
    </row>
    <row r="81" spans="1:164" ht="15">
      <c r="A81" s="407">
        <f t="shared" si="60"/>
        <v>122</v>
      </c>
      <c r="B81" s="404" t="s">
        <v>636</v>
      </c>
      <c r="C81" s="1097">
        <v>9</v>
      </c>
      <c r="D81" s="404" t="s">
        <v>1228</v>
      </c>
      <c r="E81" s="404"/>
      <c r="F81" s="1064"/>
      <c r="G81" s="1294"/>
      <c r="H81" s="1297"/>
      <c r="I81" s="1297"/>
      <c r="J81" s="1295"/>
      <c r="K81" s="873"/>
      <c r="L81" s="340"/>
      <c r="N81" s="84"/>
      <c r="O81" s="84"/>
      <c r="P81" s="804"/>
      <c r="Q81" s="804"/>
      <c r="R81" s="809"/>
      <c r="S81" s="809"/>
      <c r="T81" s="809"/>
      <c r="U81" s="809"/>
      <c r="V81" s="809"/>
      <c r="W81" s="806"/>
      <c r="X81" s="300"/>
      <c r="Y81" s="300"/>
      <c r="Z81" s="804"/>
      <c r="AA81" s="804"/>
      <c r="AB81" s="804"/>
      <c r="AC81" s="809"/>
      <c r="AD81" s="809"/>
      <c r="AE81" s="809"/>
      <c r="AF81" s="809"/>
      <c r="AG81" s="809"/>
      <c r="AH81" s="809"/>
      <c r="AI81" s="806"/>
      <c r="AJ81" s="806"/>
      <c r="AK81" s="806"/>
      <c r="AL81" s="804"/>
      <c r="AM81" s="804"/>
      <c r="AN81" s="804"/>
      <c r="AO81" s="809"/>
      <c r="AP81" s="809"/>
      <c r="AQ81" s="809"/>
      <c r="AR81" s="809"/>
      <c r="AS81" s="809"/>
      <c r="AT81" s="809"/>
      <c r="AU81" s="809"/>
      <c r="AV81" s="806"/>
      <c r="AW81" s="806"/>
      <c r="AX81" s="806"/>
      <c r="AY81" s="804"/>
      <c r="AZ81" s="804"/>
      <c r="BA81" s="804"/>
      <c r="BB81" s="809"/>
      <c r="BC81" s="809"/>
      <c r="BD81" s="809"/>
      <c r="BE81" s="809"/>
      <c r="BF81" s="948"/>
      <c r="BG81" s="948"/>
      <c r="BH81" s="948"/>
      <c r="BI81" s="806"/>
      <c r="BJ81" s="806"/>
      <c r="BK81" s="806"/>
      <c r="BL81" s="804"/>
      <c r="BM81" s="804"/>
      <c r="BN81" s="804"/>
      <c r="BO81" s="809"/>
      <c r="BP81" s="809"/>
      <c r="BQ81" s="809"/>
      <c r="BR81" s="809"/>
      <c r="BS81" s="948"/>
      <c r="BT81" s="948"/>
      <c r="BU81" s="948"/>
      <c r="BV81" s="806"/>
      <c r="BW81" s="486"/>
      <c r="BX81" s="486"/>
      <c r="BY81" s="486"/>
      <c r="BZ81" s="486"/>
      <c r="CA81" s="486"/>
      <c r="CB81" s="486"/>
      <c r="CC81" s="486"/>
      <c r="CD81" s="486"/>
      <c r="CE81" s="486"/>
      <c r="CF81" s="486"/>
      <c r="CG81" s="486"/>
      <c r="CH81" s="486"/>
      <c r="CI81" s="486"/>
      <c r="CJ81" s="486"/>
      <c r="CK81" s="486"/>
      <c r="CL81" s="486"/>
      <c r="CM81" s="486"/>
      <c r="CN81" s="486"/>
      <c r="CO81" s="486"/>
      <c r="CP81" s="486"/>
      <c r="CQ81" s="486"/>
      <c r="CR81" s="486"/>
      <c r="CS81" s="486"/>
      <c r="CT81" s="486"/>
      <c r="CU81" s="486"/>
      <c r="CV81" s="486"/>
      <c r="CW81" s="486"/>
      <c r="CX81" s="486"/>
      <c r="CY81" s="486"/>
      <c r="CZ81" s="486"/>
      <c r="DA81" s="486"/>
      <c r="DB81" s="486"/>
      <c r="DC81" s="486"/>
      <c r="DD81" s="486"/>
      <c r="DE81" s="486"/>
      <c r="DF81" s="486"/>
      <c r="DG81" s="486"/>
      <c r="DH81" s="486"/>
      <c r="DI81" s="486"/>
      <c r="DJ81" s="486"/>
      <c r="DK81" s="486"/>
      <c r="DL81" s="486"/>
      <c r="DM81" s="486"/>
      <c r="DN81" s="486"/>
      <c r="DO81" s="486"/>
      <c r="DP81" s="486"/>
      <c r="DQ81" s="486"/>
      <c r="DR81" s="486"/>
      <c r="DS81" s="486"/>
      <c r="DT81" s="486"/>
      <c r="DU81" s="486"/>
      <c r="DV81" s="486"/>
      <c r="DW81" s="486"/>
      <c r="DX81" s="486"/>
      <c r="DY81" s="486"/>
      <c r="DZ81" s="486"/>
      <c r="EA81" s="486"/>
      <c r="EB81" s="486"/>
      <c r="EC81" s="486"/>
      <c r="ED81" s="486"/>
      <c r="EE81" s="486"/>
      <c r="EF81" s="486"/>
      <c r="EG81" s="486"/>
      <c r="EH81" s="486"/>
      <c r="EI81" s="486"/>
      <c r="EJ81" s="486"/>
      <c r="EK81" s="486"/>
      <c r="EL81" s="486"/>
      <c r="EM81" s="486"/>
      <c r="EN81" s="486"/>
      <c r="EO81" s="486"/>
      <c r="EP81" s="486"/>
      <c r="EQ81" s="486"/>
      <c r="ER81" s="486"/>
      <c r="ES81" s="486"/>
      <c r="ET81" s="486"/>
      <c r="EU81" s="486"/>
      <c r="EV81" s="486"/>
      <c r="EW81" s="486"/>
      <c r="EX81" s="486"/>
      <c r="EY81" s="486"/>
      <c r="EZ81" s="486"/>
      <c r="FA81" s="486"/>
      <c r="FB81" s="486"/>
      <c r="FC81" s="486"/>
      <c r="FD81" s="486"/>
      <c r="FE81" s="486"/>
      <c r="FF81" s="486"/>
      <c r="FG81" s="486"/>
      <c r="FH81" s="486"/>
    </row>
    <row r="82" spans="1:164" ht="15">
      <c r="A82" s="407">
        <f t="shared" si="60"/>
        <v>123</v>
      </c>
      <c r="B82" s="404" t="s">
        <v>636</v>
      </c>
      <c r="C82" s="1097">
        <v>9</v>
      </c>
      <c r="D82" s="404" t="s">
        <v>1229</v>
      </c>
      <c r="E82" s="404"/>
      <c r="F82" s="1064"/>
      <c r="G82" s="1294"/>
      <c r="H82" s="1297"/>
      <c r="I82" s="1297"/>
      <c r="J82" s="1295"/>
      <c r="K82"/>
      <c r="L82" s="340"/>
      <c r="N82" s="84"/>
      <c r="O82" s="84"/>
      <c r="P82" s="804"/>
      <c r="Q82" s="804"/>
      <c r="R82" s="809"/>
      <c r="S82" s="809"/>
      <c r="T82" s="809"/>
      <c r="U82" s="809"/>
      <c r="V82" s="809"/>
      <c r="W82" s="806"/>
      <c r="X82" s="300"/>
      <c r="Y82" s="300"/>
      <c r="Z82" s="804"/>
      <c r="AA82" s="804"/>
      <c r="AB82" s="804"/>
      <c r="AC82" s="809"/>
      <c r="AD82" s="809"/>
      <c r="AE82" s="809"/>
      <c r="AF82" s="809"/>
      <c r="AG82" s="809"/>
      <c r="AH82" s="809"/>
      <c r="AI82" s="806"/>
      <c r="AJ82" s="806"/>
      <c r="AK82" s="806"/>
      <c r="AL82" s="804"/>
      <c r="AM82" s="804"/>
      <c r="AN82" s="804"/>
      <c r="AO82" s="809"/>
      <c r="AP82" s="809"/>
      <c r="AQ82" s="809"/>
      <c r="AR82" s="809"/>
      <c r="AS82" s="809"/>
      <c r="AT82" s="809"/>
      <c r="AU82" s="809"/>
      <c r="AV82" s="806"/>
      <c r="AW82" s="806"/>
      <c r="AX82" s="806"/>
      <c r="AY82" s="804"/>
      <c r="AZ82" s="804"/>
      <c r="BA82" s="804"/>
      <c r="BB82" s="809"/>
      <c r="BC82" s="809"/>
      <c r="BD82" s="809"/>
      <c r="BE82" s="809"/>
      <c r="BF82" s="948"/>
      <c r="BG82" s="948"/>
      <c r="BH82" s="948"/>
      <c r="BI82" s="806"/>
      <c r="BJ82" s="806"/>
      <c r="BK82" s="806"/>
      <c r="BL82" s="804"/>
      <c r="BM82" s="804"/>
      <c r="BN82" s="804"/>
      <c r="BO82" s="809"/>
      <c r="BP82" s="809"/>
      <c r="BQ82" s="809"/>
      <c r="BR82" s="809"/>
      <c r="BS82" s="948"/>
      <c r="BT82" s="948"/>
      <c r="BU82" s="948"/>
      <c r="BV82" s="806"/>
      <c r="BW82" s="486"/>
      <c r="BX82" s="486"/>
      <c r="BY82" s="486"/>
      <c r="BZ82" s="486"/>
      <c r="CA82" s="486"/>
      <c r="CB82" s="486"/>
      <c r="CC82" s="486"/>
      <c r="CD82" s="486"/>
      <c r="CE82" s="486"/>
      <c r="CF82" s="486"/>
      <c r="CG82" s="486"/>
      <c r="CH82" s="486"/>
      <c r="CI82" s="486"/>
      <c r="CJ82" s="486"/>
      <c r="CK82" s="486"/>
      <c r="CL82" s="486"/>
      <c r="CM82" s="486"/>
      <c r="CN82" s="486"/>
      <c r="CO82" s="486"/>
      <c r="CP82" s="486"/>
      <c r="CQ82" s="486"/>
      <c r="CR82" s="486"/>
      <c r="CS82" s="486"/>
      <c r="CT82" s="486"/>
      <c r="CU82" s="486"/>
      <c r="CV82" s="486"/>
      <c r="CW82" s="486"/>
      <c r="CX82" s="486"/>
      <c r="CY82" s="486"/>
      <c r="CZ82" s="486"/>
      <c r="DA82" s="486"/>
      <c r="DB82" s="486"/>
      <c r="DC82" s="486"/>
      <c r="DD82" s="486"/>
      <c r="DE82" s="486"/>
      <c r="DF82" s="486"/>
      <c r="DG82" s="486"/>
      <c r="DH82" s="486"/>
      <c r="DI82" s="486"/>
      <c r="DJ82" s="486"/>
      <c r="DK82" s="486"/>
      <c r="DL82" s="486"/>
      <c r="DM82" s="486"/>
      <c r="DN82" s="486"/>
      <c r="DO82" s="486"/>
      <c r="DP82" s="486"/>
      <c r="DQ82" s="486"/>
      <c r="DR82" s="486"/>
      <c r="DS82" s="486"/>
      <c r="DT82" s="486"/>
      <c r="DU82" s="486"/>
      <c r="DV82" s="486"/>
      <c r="DW82" s="486"/>
      <c r="DX82" s="486"/>
      <c r="DY82" s="486"/>
      <c r="DZ82" s="486"/>
      <c r="EA82" s="486"/>
      <c r="EB82" s="486"/>
      <c r="EC82" s="486"/>
      <c r="ED82" s="486"/>
      <c r="EE82" s="486"/>
      <c r="EF82" s="486"/>
      <c r="EG82" s="486"/>
      <c r="EH82" s="486"/>
      <c r="EI82" s="486"/>
      <c r="EJ82" s="486"/>
      <c r="EK82" s="486"/>
      <c r="EL82" s="486"/>
      <c r="EM82" s="486"/>
      <c r="EN82" s="486"/>
      <c r="EO82" s="486"/>
      <c r="EP82" s="486"/>
      <c r="EQ82" s="486"/>
      <c r="ER82" s="486"/>
      <c r="ES82" s="486"/>
      <c r="ET82" s="486"/>
      <c r="EU82" s="486"/>
      <c r="EV82" s="486"/>
      <c r="EW82" s="486"/>
      <c r="EX82" s="486"/>
      <c r="EY82" s="486"/>
      <c r="EZ82" s="486"/>
      <c r="FA82" s="486"/>
      <c r="FB82" s="486"/>
      <c r="FC82" s="486"/>
      <c r="FD82" s="486"/>
      <c r="FE82" s="486"/>
      <c r="FF82" s="486"/>
      <c r="FG82" s="486"/>
      <c r="FH82" s="486"/>
    </row>
    <row r="83" spans="1:164" ht="15">
      <c r="A83" s="407">
        <f t="shared" si="60"/>
        <v>124</v>
      </c>
      <c r="B83" s="404" t="s">
        <v>636</v>
      </c>
      <c r="C83" s="1097">
        <v>9</v>
      </c>
      <c r="D83" s="404" t="s">
        <v>1230</v>
      </c>
      <c r="E83" s="404"/>
      <c r="F83" s="1064"/>
      <c r="G83" s="1294"/>
      <c r="H83" s="1303"/>
      <c r="I83" s="1303"/>
      <c r="J83" s="1304"/>
      <c r="K83"/>
      <c r="L83" s="340"/>
      <c r="N83" s="84"/>
      <c r="O83" s="84"/>
      <c r="P83" s="804"/>
      <c r="Q83" s="804"/>
      <c r="R83" s="809"/>
      <c r="S83" s="809"/>
      <c r="T83" s="809"/>
      <c r="U83" s="809"/>
      <c r="V83" s="809"/>
      <c r="W83" s="806"/>
      <c r="X83" s="300"/>
      <c r="Y83" s="300"/>
      <c r="Z83" s="804"/>
      <c r="AA83" s="804"/>
      <c r="AB83" s="804"/>
      <c r="AC83" s="809"/>
      <c r="AD83" s="809"/>
      <c r="AE83" s="809"/>
      <c r="AF83" s="809"/>
      <c r="AG83" s="809"/>
      <c r="AH83" s="809"/>
      <c r="AI83" s="806"/>
      <c r="AJ83" s="806"/>
      <c r="AK83" s="806"/>
      <c r="AL83" s="804"/>
      <c r="AM83" s="804"/>
      <c r="AN83" s="804"/>
      <c r="AO83" s="809"/>
      <c r="AP83" s="809"/>
      <c r="AQ83" s="809"/>
      <c r="AR83" s="809"/>
      <c r="AS83" s="809"/>
      <c r="AT83" s="809"/>
      <c r="AU83" s="809"/>
      <c r="AV83" s="806"/>
      <c r="AW83" s="806"/>
      <c r="AX83" s="806"/>
      <c r="AY83" s="804"/>
      <c r="AZ83" s="804"/>
      <c r="BA83" s="804"/>
      <c r="BB83" s="809"/>
      <c r="BC83" s="809"/>
      <c r="BD83" s="809"/>
      <c r="BE83" s="809"/>
      <c r="BF83" s="948"/>
      <c r="BG83" s="948"/>
      <c r="BH83" s="948"/>
      <c r="BI83" s="806"/>
      <c r="BJ83" s="806"/>
      <c r="BK83" s="806"/>
      <c r="BL83" s="804"/>
      <c r="BM83" s="804"/>
      <c r="BN83" s="804"/>
      <c r="BO83" s="809"/>
      <c r="BP83" s="809"/>
      <c r="BQ83" s="809"/>
      <c r="BR83" s="809"/>
      <c r="BS83" s="948"/>
      <c r="BT83" s="948"/>
      <c r="BU83" s="948"/>
      <c r="BV83" s="806"/>
      <c r="BW83" s="486"/>
      <c r="BX83" s="486"/>
      <c r="BY83" s="486"/>
      <c r="BZ83" s="486"/>
      <c r="CA83" s="486"/>
      <c r="CB83" s="486"/>
      <c r="CC83" s="486"/>
      <c r="CD83" s="486"/>
      <c r="CE83" s="486"/>
      <c r="CF83" s="486"/>
      <c r="CG83" s="486"/>
      <c r="CH83" s="486"/>
      <c r="CI83" s="486"/>
      <c r="CJ83" s="486"/>
      <c r="CK83" s="486"/>
      <c r="CL83" s="486"/>
      <c r="CM83" s="486"/>
      <c r="CN83" s="486"/>
      <c r="CO83" s="486"/>
      <c r="CP83" s="486"/>
      <c r="CQ83" s="486"/>
      <c r="CR83" s="486"/>
      <c r="CS83" s="486"/>
      <c r="CT83" s="486"/>
      <c r="CU83" s="486"/>
      <c r="CV83" s="486"/>
      <c r="CW83" s="486"/>
      <c r="CX83" s="486"/>
      <c r="CY83" s="486"/>
      <c r="CZ83" s="486"/>
      <c r="DA83" s="486"/>
      <c r="DB83" s="486"/>
      <c r="DC83" s="486"/>
      <c r="DD83" s="486"/>
      <c r="DE83" s="486"/>
      <c r="DF83" s="486"/>
      <c r="DG83" s="486"/>
      <c r="DH83" s="486"/>
      <c r="DI83" s="486"/>
      <c r="DJ83" s="486"/>
      <c r="DK83" s="486"/>
      <c r="DL83" s="486"/>
      <c r="DM83" s="486"/>
      <c r="DN83" s="486"/>
      <c r="DO83" s="486"/>
      <c r="DP83" s="486"/>
      <c r="DQ83" s="486"/>
      <c r="DR83" s="486"/>
      <c r="DS83" s="486"/>
      <c r="DT83" s="486"/>
      <c r="DU83" s="486"/>
      <c r="DV83" s="486"/>
      <c r="DW83" s="486"/>
      <c r="DX83" s="486"/>
      <c r="DY83" s="486"/>
      <c r="DZ83" s="486"/>
      <c r="EA83" s="486"/>
      <c r="EB83" s="486"/>
      <c r="EC83" s="486"/>
      <c r="ED83" s="486"/>
      <c r="EE83" s="486"/>
      <c r="EF83" s="486"/>
      <c r="EG83" s="486"/>
      <c r="EH83" s="486"/>
      <c r="EI83" s="486"/>
      <c r="EJ83" s="486"/>
      <c r="EK83" s="486"/>
      <c r="EL83" s="486"/>
      <c r="EM83" s="486"/>
      <c r="EN83" s="486"/>
      <c r="EO83" s="486"/>
      <c r="EP83" s="486"/>
      <c r="EQ83" s="486"/>
      <c r="ER83" s="486"/>
      <c r="ES83" s="486"/>
      <c r="ET83" s="486"/>
      <c r="EU83" s="486"/>
      <c r="EV83" s="486"/>
      <c r="EW83" s="486"/>
      <c r="EX83" s="486"/>
      <c r="EY83" s="486"/>
      <c r="EZ83" s="486"/>
      <c r="FA83" s="486"/>
      <c r="FB83" s="486"/>
      <c r="FC83" s="486"/>
      <c r="FD83" s="486"/>
      <c r="FE83" s="486"/>
      <c r="FF83" s="486"/>
      <c r="FG83" s="486"/>
      <c r="FH83" s="486"/>
    </row>
    <row r="84" spans="1:164" ht="15">
      <c r="A84" s="407">
        <f t="shared" si="60"/>
        <v>125</v>
      </c>
      <c r="B84" s="404" t="s">
        <v>636</v>
      </c>
      <c r="C84" s="1097">
        <v>9</v>
      </c>
      <c r="D84" s="404" t="s">
        <v>1231</v>
      </c>
      <c r="E84" s="404"/>
      <c r="F84" s="1064"/>
      <c r="G84" s="1294"/>
      <c r="H84" s="1303"/>
      <c r="I84" s="1303"/>
      <c r="J84" s="1304"/>
      <c r="K84"/>
      <c r="L84" s="340"/>
      <c r="N84" s="84"/>
      <c r="O84" s="84"/>
      <c r="P84" s="804"/>
      <c r="Q84" s="804"/>
      <c r="R84" s="809"/>
      <c r="S84" s="809"/>
      <c r="T84" s="809"/>
      <c r="U84" s="809"/>
      <c r="V84" s="809"/>
      <c r="W84" s="806"/>
      <c r="X84" s="300"/>
      <c r="Y84" s="300"/>
      <c r="Z84" s="804"/>
      <c r="AA84" s="804"/>
      <c r="AB84" s="804"/>
      <c r="AC84" s="809"/>
      <c r="AD84" s="809"/>
      <c r="AE84" s="809"/>
      <c r="AF84" s="809"/>
      <c r="AG84" s="809"/>
      <c r="AH84" s="809"/>
      <c r="AI84" s="806"/>
      <c r="AJ84" s="806"/>
      <c r="AK84" s="806"/>
      <c r="AL84" s="804"/>
      <c r="AM84" s="804"/>
      <c r="AN84" s="804"/>
      <c r="AO84" s="809"/>
      <c r="AP84" s="809"/>
      <c r="AQ84" s="809"/>
      <c r="AR84" s="809"/>
      <c r="AS84" s="809"/>
      <c r="AT84" s="809"/>
      <c r="AU84" s="809"/>
      <c r="AV84" s="806"/>
      <c r="AW84" s="806"/>
      <c r="AX84" s="806"/>
      <c r="AY84" s="804"/>
      <c r="AZ84" s="804"/>
      <c r="BA84" s="804"/>
      <c r="BB84" s="809"/>
      <c r="BC84" s="809"/>
      <c r="BD84" s="809"/>
      <c r="BE84" s="809"/>
      <c r="BF84" s="948"/>
      <c r="BG84" s="948"/>
      <c r="BH84" s="948"/>
      <c r="BI84" s="806"/>
      <c r="BJ84" s="806"/>
      <c r="BK84" s="806"/>
      <c r="BL84" s="804"/>
      <c r="BM84" s="804"/>
      <c r="BN84" s="804"/>
      <c r="BO84" s="809"/>
      <c r="BP84" s="809"/>
      <c r="BQ84" s="809"/>
      <c r="BR84" s="809"/>
      <c r="BS84" s="948"/>
      <c r="BT84" s="948"/>
      <c r="BU84" s="948"/>
      <c r="BV84" s="806"/>
      <c r="BW84" s="486"/>
      <c r="BX84" s="486"/>
      <c r="BY84" s="486"/>
      <c r="BZ84" s="486"/>
      <c r="CA84" s="486"/>
      <c r="CB84" s="486"/>
      <c r="CC84" s="486"/>
      <c r="CD84" s="486"/>
      <c r="CE84" s="486"/>
      <c r="CF84" s="486"/>
      <c r="CG84" s="486"/>
      <c r="CH84" s="486"/>
      <c r="CI84" s="486"/>
      <c r="CJ84" s="486"/>
      <c r="CK84" s="486"/>
      <c r="CL84" s="486"/>
      <c r="CM84" s="486"/>
      <c r="CN84" s="486"/>
      <c r="CO84" s="486"/>
      <c r="CP84" s="486"/>
      <c r="CQ84" s="486"/>
      <c r="CR84" s="486"/>
      <c r="CS84" s="486"/>
      <c r="CT84" s="486"/>
      <c r="CU84" s="486"/>
      <c r="CV84" s="486"/>
      <c r="CW84" s="486"/>
      <c r="CX84" s="486"/>
      <c r="CY84" s="486"/>
      <c r="CZ84" s="486"/>
      <c r="DA84" s="486"/>
      <c r="DB84" s="486"/>
      <c r="DC84" s="486"/>
      <c r="DD84" s="486"/>
      <c r="DE84" s="486"/>
      <c r="DF84" s="486"/>
      <c r="DG84" s="486"/>
      <c r="DH84" s="486"/>
      <c r="DI84" s="486"/>
      <c r="DJ84" s="486"/>
      <c r="DK84" s="486"/>
      <c r="DL84" s="486"/>
      <c r="DM84" s="486"/>
      <c r="DN84" s="486"/>
      <c r="DO84" s="486"/>
      <c r="DP84" s="486"/>
      <c r="DQ84" s="486"/>
      <c r="DR84" s="486"/>
      <c r="DS84" s="486"/>
      <c r="DT84" s="486"/>
      <c r="DU84" s="486"/>
      <c r="DV84" s="486"/>
      <c r="DW84" s="486"/>
      <c r="DX84" s="486"/>
      <c r="DY84" s="486"/>
      <c r="DZ84" s="486"/>
      <c r="EA84" s="486"/>
      <c r="EB84" s="486"/>
      <c r="EC84" s="486"/>
      <c r="ED84" s="486"/>
      <c r="EE84" s="486"/>
      <c r="EF84" s="486"/>
      <c r="EG84" s="486"/>
      <c r="EH84" s="486"/>
      <c r="EI84" s="486"/>
      <c r="EJ84" s="486"/>
      <c r="EK84" s="486"/>
      <c r="EL84" s="486"/>
      <c r="EM84" s="486"/>
      <c r="EN84" s="486"/>
      <c r="EO84" s="486"/>
      <c r="EP84" s="486"/>
      <c r="EQ84" s="486"/>
      <c r="ER84" s="486"/>
      <c r="ES84" s="486"/>
      <c r="ET84" s="486"/>
      <c r="EU84" s="486"/>
      <c r="EV84" s="486"/>
      <c r="EW84" s="486"/>
      <c r="EX84" s="486"/>
      <c r="EY84" s="486"/>
      <c r="EZ84" s="486"/>
      <c r="FA84" s="486"/>
      <c r="FB84" s="486"/>
      <c r="FC84" s="486"/>
      <c r="FD84" s="486"/>
      <c r="FE84" s="486"/>
      <c r="FF84" s="486"/>
      <c r="FG84" s="486"/>
      <c r="FH84" s="486"/>
    </row>
    <row r="85" spans="1:164" ht="15">
      <c r="A85" s="407">
        <f t="shared" si="60"/>
        <v>126</v>
      </c>
      <c r="B85" s="404"/>
      <c r="C85" s="1097">
        <v>9</v>
      </c>
      <c r="D85" s="404" t="s">
        <v>1239</v>
      </c>
      <c r="E85" s="404"/>
      <c r="F85" s="1064"/>
      <c r="G85" s="1294"/>
      <c r="H85" s="1303"/>
      <c r="I85" s="1303"/>
      <c r="J85" s="1304"/>
      <c r="K85"/>
      <c r="L85" s="340"/>
      <c r="N85" s="84"/>
      <c r="O85" s="84"/>
      <c r="P85" s="804"/>
      <c r="Q85" s="804"/>
      <c r="R85" s="809"/>
      <c r="S85" s="809"/>
      <c r="T85" s="809"/>
      <c r="U85" s="809"/>
      <c r="V85" s="809"/>
      <c r="W85" s="806"/>
      <c r="X85" s="300"/>
      <c r="Y85" s="300"/>
      <c r="Z85" s="804"/>
      <c r="AA85" s="804"/>
      <c r="AB85" s="804"/>
      <c r="AC85" s="809"/>
      <c r="AD85" s="809"/>
      <c r="AE85" s="809"/>
      <c r="AF85" s="809"/>
      <c r="AG85" s="809"/>
      <c r="AH85" s="809"/>
      <c r="AI85" s="806"/>
      <c r="AJ85" s="806"/>
      <c r="AK85" s="806"/>
      <c r="AL85" s="804"/>
      <c r="AM85" s="804"/>
      <c r="AN85" s="804"/>
      <c r="AO85" s="809"/>
      <c r="AP85" s="809"/>
      <c r="AQ85" s="809"/>
      <c r="AR85" s="809"/>
      <c r="AS85" s="809"/>
      <c r="AT85" s="809"/>
      <c r="AU85" s="809"/>
      <c r="AV85" s="806"/>
      <c r="AW85" s="806"/>
      <c r="AX85" s="806"/>
      <c r="AY85" s="804"/>
      <c r="AZ85" s="804"/>
      <c r="BA85" s="804"/>
      <c r="BB85" s="809"/>
      <c r="BC85" s="809"/>
      <c r="BD85" s="809"/>
      <c r="BE85" s="809"/>
      <c r="BF85" s="948"/>
      <c r="BG85" s="948"/>
      <c r="BH85" s="948"/>
      <c r="BI85" s="806"/>
      <c r="BJ85" s="806"/>
      <c r="BK85" s="806"/>
      <c r="BL85" s="804"/>
      <c r="BM85" s="804"/>
      <c r="BN85" s="804"/>
      <c r="BO85" s="809"/>
      <c r="BP85" s="809"/>
      <c r="BQ85" s="809"/>
      <c r="BR85" s="809"/>
      <c r="BS85" s="948"/>
      <c r="BT85" s="948"/>
      <c r="BU85" s="948"/>
      <c r="BV85" s="806"/>
      <c r="BW85" s="486"/>
      <c r="BX85" s="486"/>
      <c r="BY85" s="486"/>
      <c r="BZ85" s="486"/>
      <c r="CA85" s="486"/>
      <c r="CB85" s="486"/>
      <c r="CC85" s="486"/>
      <c r="CD85" s="486"/>
      <c r="CE85" s="486"/>
      <c r="CF85" s="486"/>
      <c r="CG85" s="486"/>
      <c r="CH85" s="486"/>
      <c r="CI85" s="486"/>
      <c r="CJ85" s="486"/>
      <c r="CK85" s="486"/>
      <c r="CL85" s="486"/>
      <c r="CM85" s="486"/>
      <c r="CN85" s="486"/>
      <c r="CO85" s="486"/>
      <c r="CP85" s="486"/>
      <c r="CQ85" s="486"/>
      <c r="CR85" s="486"/>
      <c r="CS85" s="486"/>
      <c r="CT85" s="486"/>
      <c r="CU85" s="486"/>
      <c r="CV85" s="486"/>
      <c r="CW85" s="486"/>
      <c r="CX85" s="486"/>
      <c r="CY85" s="486"/>
      <c r="CZ85" s="486"/>
      <c r="DA85" s="486"/>
      <c r="DB85" s="486"/>
      <c r="DC85" s="486"/>
      <c r="DD85" s="486"/>
      <c r="DE85" s="486"/>
      <c r="DF85" s="486"/>
      <c r="DG85" s="486"/>
      <c r="DH85" s="486"/>
      <c r="DI85" s="486"/>
      <c r="DJ85" s="486"/>
      <c r="DK85" s="486"/>
      <c r="DL85" s="486"/>
      <c r="DM85" s="486"/>
      <c r="DN85" s="486"/>
      <c r="DO85" s="486"/>
      <c r="DP85" s="486"/>
      <c r="DQ85" s="486"/>
      <c r="DR85" s="486"/>
      <c r="DS85" s="486"/>
      <c r="DT85" s="486"/>
      <c r="DU85" s="486"/>
      <c r="DV85" s="486"/>
      <c r="DW85" s="486"/>
      <c r="DX85" s="486"/>
      <c r="DY85" s="486"/>
      <c r="DZ85" s="486"/>
      <c r="EA85" s="486"/>
      <c r="EB85" s="486"/>
      <c r="EC85" s="486"/>
      <c r="ED85" s="486"/>
      <c r="EE85" s="486"/>
      <c r="EF85" s="486"/>
      <c r="EG85" s="486"/>
      <c r="EH85" s="486"/>
      <c r="EI85" s="486"/>
      <c r="EJ85" s="486"/>
      <c r="EK85" s="486"/>
      <c r="EL85" s="486"/>
      <c r="EM85" s="486"/>
      <c r="EN85" s="486"/>
      <c r="EO85" s="486"/>
      <c r="EP85" s="486"/>
      <c r="EQ85" s="486"/>
      <c r="ER85" s="486"/>
      <c r="ES85" s="486"/>
      <c r="ET85" s="486"/>
      <c r="EU85" s="486"/>
      <c r="EV85" s="486"/>
      <c r="EW85" s="486"/>
      <c r="EX85" s="486"/>
      <c r="EY85" s="486"/>
      <c r="EZ85" s="486"/>
      <c r="FA85" s="486"/>
      <c r="FB85" s="486"/>
      <c r="FC85" s="486"/>
      <c r="FD85" s="486"/>
      <c r="FE85" s="486"/>
      <c r="FF85" s="486"/>
      <c r="FG85" s="486"/>
      <c r="FH85" s="486"/>
    </row>
    <row r="86" spans="1:164" ht="15">
      <c r="A86" s="407">
        <f t="shared" si="60"/>
        <v>127</v>
      </c>
      <c r="B86" s="404" t="s">
        <v>636</v>
      </c>
      <c r="C86" s="1097">
        <v>9</v>
      </c>
      <c r="D86" s="404" t="s">
        <v>1233</v>
      </c>
      <c r="E86" s="404"/>
      <c r="F86" s="1064"/>
      <c r="G86" s="1294"/>
      <c r="H86" s="1303"/>
      <c r="I86" s="1303"/>
      <c r="J86" s="1304"/>
      <c r="K86"/>
      <c r="L86" s="340"/>
      <c r="N86" s="84"/>
      <c r="O86" s="84"/>
      <c r="P86" s="804"/>
      <c r="Q86" s="804"/>
      <c r="R86" s="809"/>
      <c r="S86" s="809"/>
      <c r="T86" s="809"/>
      <c r="U86" s="809"/>
      <c r="V86" s="809"/>
      <c r="W86" s="806"/>
      <c r="X86" s="300"/>
      <c r="Y86" s="300"/>
      <c r="Z86" s="804"/>
      <c r="AA86" s="804"/>
      <c r="AB86" s="804"/>
      <c r="AC86" s="809"/>
      <c r="AD86" s="809"/>
      <c r="AE86" s="809"/>
      <c r="AF86" s="809"/>
      <c r="AG86" s="809"/>
      <c r="AH86" s="809"/>
      <c r="AI86" s="806"/>
      <c r="AJ86" s="806"/>
      <c r="AK86" s="806"/>
      <c r="AL86" s="804"/>
      <c r="AM86" s="804"/>
      <c r="AN86" s="804"/>
      <c r="AO86" s="809"/>
      <c r="AP86" s="809"/>
      <c r="AQ86" s="809"/>
      <c r="AR86" s="809"/>
      <c r="AS86" s="809"/>
      <c r="AT86" s="809"/>
      <c r="AU86" s="809"/>
      <c r="AV86" s="806"/>
      <c r="AW86" s="806"/>
      <c r="AX86" s="806"/>
      <c r="AY86" s="804"/>
      <c r="AZ86" s="804"/>
      <c r="BA86" s="804"/>
      <c r="BB86" s="809"/>
      <c r="BC86" s="809"/>
      <c r="BD86" s="809"/>
      <c r="BE86" s="809"/>
      <c r="BF86" s="948"/>
      <c r="BG86" s="948"/>
      <c r="BH86" s="948"/>
      <c r="BI86" s="806"/>
      <c r="BJ86" s="806"/>
      <c r="BK86" s="806"/>
      <c r="BL86" s="804"/>
      <c r="BM86" s="804"/>
      <c r="BN86" s="804"/>
      <c r="BO86" s="809"/>
      <c r="BP86" s="809"/>
      <c r="BQ86" s="809"/>
      <c r="BR86" s="809"/>
      <c r="BS86" s="948"/>
      <c r="BT86" s="948"/>
      <c r="BU86" s="948"/>
      <c r="BV86" s="806"/>
      <c r="BW86" s="486"/>
      <c r="BX86" s="486"/>
      <c r="BY86" s="486"/>
      <c r="BZ86" s="486"/>
      <c r="CA86" s="486"/>
      <c r="CB86" s="486"/>
      <c r="CC86" s="486"/>
      <c r="CD86" s="486"/>
      <c r="CE86" s="486"/>
      <c r="CF86" s="486"/>
      <c r="CG86" s="486"/>
      <c r="CH86" s="486"/>
      <c r="CI86" s="486"/>
      <c r="CJ86" s="486"/>
      <c r="CK86" s="486"/>
      <c r="CL86" s="486"/>
      <c r="CM86" s="486"/>
      <c r="CN86" s="486"/>
      <c r="CO86" s="486"/>
      <c r="CP86" s="486"/>
      <c r="CQ86" s="486"/>
      <c r="CR86" s="486"/>
      <c r="CS86" s="486"/>
      <c r="CT86" s="486"/>
      <c r="CU86" s="486"/>
      <c r="CV86" s="486"/>
      <c r="CW86" s="486"/>
      <c r="CX86" s="486"/>
      <c r="CY86" s="486"/>
      <c r="CZ86" s="486"/>
      <c r="DA86" s="486"/>
      <c r="DB86" s="486"/>
      <c r="DC86" s="486"/>
      <c r="DD86" s="486"/>
      <c r="DE86" s="486"/>
      <c r="DF86" s="486"/>
      <c r="DG86" s="486"/>
      <c r="DH86" s="486"/>
      <c r="DI86" s="486"/>
      <c r="DJ86" s="486"/>
      <c r="DK86" s="486"/>
      <c r="DL86" s="486"/>
      <c r="DM86" s="486"/>
      <c r="DN86" s="486"/>
      <c r="DO86" s="486"/>
      <c r="DP86" s="486"/>
      <c r="DQ86" s="486"/>
      <c r="DR86" s="486"/>
      <c r="DS86" s="486"/>
      <c r="DT86" s="486"/>
      <c r="DU86" s="486"/>
      <c r="DV86" s="486"/>
      <c r="DW86" s="486"/>
      <c r="DX86" s="486"/>
      <c r="DY86" s="486"/>
      <c r="DZ86" s="486"/>
      <c r="EA86" s="486"/>
      <c r="EB86" s="486"/>
      <c r="EC86" s="486"/>
      <c r="ED86" s="486"/>
      <c r="EE86" s="486"/>
      <c r="EF86" s="486"/>
      <c r="EG86" s="486"/>
      <c r="EH86" s="486"/>
      <c r="EI86" s="486"/>
      <c r="EJ86" s="486"/>
      <c r="EK86" s="486"/>
      <c r="EL86" s="486"/>
      <c r="EM86" s="486"/>
      <c r="EN86" s="486"/>
      <c r="EO86" s="486"/>
      <c r="EP86" s="486"/>
      <c r="EQ86" s="486"/>
      <c r="ER86" s="486"/>
      <c r="ES86" s="486"/>
      <c r="ET86" s="486"/>
      <c r="EU86" s="486"/>
      <c r="EV86" s="486"/>
      <c r="EW86" s="486"/>
      <c r="EX86" s="486"/>
      <c r="EY86" s="486"/>
      <c r="EZ86" s="486"/>
      <c r="FA86" s="486"/>
      <c r="FB86" s="486"/>
      <c r="FC86" s="486"/>
      <c r="FD86" s="486"/>
      <c r="FE86" s="486"/>
      <c r="FF86" s="486"/>
      <c r="FG86" s="486"/>
      <c r="FH86" s="486"/>
    </row>
    <row r="87" spans="1:164" ht="15">
      <c r="A87" s="407">
        <f t="shared" si="60"/>
        <v>128</v>
      </c>
      <c r="B87" s="404" t="s">
        <v>636</v>
      </c>
      <c r="C87" s="1097">
        <v>10</v>
      </c>
      <c r="D87" s="404" t="s">
        <v>1234</v>
      </c>
      <c r="E87" s="404"/>
      <c r="F87" s="1064"/>
      <c r="G87" s="1294"/>
      <c r="H87" s="1303"/>
      <c r="I87" s="1303"/>
      <c r="J87" s="1304"/>
      <c r="K87"/>
      <c r="L87" s="340"/>
      <c r="N87" s="84"/>
      <c r="O87" s="84"/>
      <c r="P87" s="804"/>
      <c r="Q87" s="804"/>
      <c r="R87" s="809"/>
      <c r="S87" s="809"/>
      <c r="T87" s="809"/>
      <c r="U87" s="809"/>
      <c r="V87" s="809"/>
      <c r="W87" s="806"/>
      <c r="X87" s="300"/>
      <c r="Y87" s="300"/>
      <c r="Z87" s="804"/>
      <c r="AA87" s="804"/>
      <c r="AB87" s="804"/>
      <c r="AC87" s="809"/>
      <c r="AD87" s="809"/>
      <c r="AE87" s="809"/>
      <c r="AF87" s="809"/>
      <c r="AG87" s="809"/>
      <c r="AH87" s="809"/>
      <c r="AI87" s="806"/>
      <c r="AJ87" s="806"/>
      <c r="AK87" s="806"/>
      <c r="AL87" s="804"/>
      <c r="AM87" s="804"/>
      <c r="AN87" s="804"/>
      <c r="AO87" s="809"/>
      <c r="AP87" s="809"/>
      <c r="AQ87" s="809"/>
      <c r="AR87" s="809"/>
      <c r="AS87" s="809"/>
      <c r="AT87" s="809"/>
      <c r="AU87" s="809"/>
      <c r="AV87" s="806"/>
      <c r="AW87" s="806"/>
      <c r="AX87" s="806"/>
      <c r="AY87" s="804"/>
      <c r="AZ87" s="804"/>
      <c r="BA87" s="804"/>
      <c r="BB87" s="809"/>
      <c r="BC87" s="809"/>
      <c r="BD87" s="809"/>
      <c r="BE87" s="809"/>
      <c r="BF87" s="948"/>
      <c r="BG87" s="948"/>
      <c r="BH87" s="948"/>
      <c r="BI87" s="806"/>
      <c r="BJ87" s="806"/>
      <c r="BK87" s="806"/>
      <c r="BL87" s="804"/>
      <c r="BM87" s="804"/>
      <c r="BN87" s="804"/>
      <c r="BO87" s="809"/>
      <c r="BP87" s="809"/>
      <c r="BQ87" s="809"/>
      <c r="BR87" s="809"/>
      <c r="BS87" s="948"/>
      <c r="BT87" s="948"/>
      <c r="BU87" s="948"/>
      <c r="BV87" s="806"/>
      <c r="BW87" s="486"/>
      <c r="BX87" s="486"/>
      <c r="BY87" s="486"/>
      <c r="BZ87" s="486"/>
      <c r="CA87" s="486"/>
      <c r="CB87" s="486"/>
      <c r="CC87" s="486"/>
      <c r="CD87" s="486"/>
      <c r="CE87" s="486"/>
      <c r="CF87" s="486"/>
      <c r="CG87" s="486"/>
      <c r="CH87" s="486"/>
      <c r="CI87" s="486"/>
      <c r="CJ87" s="486"/>
      <c r="CK87" s="486"/>
      <c r="CL87" s="486"/>
      <c r="CM87" s="486"/>
      <c r="CN87" s="486"/>
      <c r="CO87" s="486"/>
      <c r="CP87" s="486"/>
      <c r="CQ87" s="486"/>
      <c r="CR87" s="486"/>
      <c r="CS87" s="486"/>
      <c r="CT87" s="486"/>
      <c r="CU87" s="486"/>
      <c r="CV87" s="486"/>
      <c r="CW87" s="486"/>
      <c r="CX87" s="486"/>
      <c r="CY87" s="486"/>
      <c r="CZ87" s="486"/>
      <c r="DA87" s="486"/>
      <c r="DB87" s="486"/>
      <c r="DC87" s="486"/>
      <c r="DD87" s="486"/>
      <c r="DE87" s="486"/>
      <c r="DF87" s="486"/>
      <c r="DG87" s="486"/>
      <c r="DH87" s="486"/>
      <c r="DI87" s="486"/>
      <c r="DJ87" s="486"/>
      <c r="DK87" s="486"/>
      <c r="DL87" s="486"/>
      <c r="DM87" s="486"/>
      <c r="DN87" s="486"/>
      <c r="DO87" s="486"/>
      <c r="DP87" s="486"/>
      <c r="DQ87" s="486"/>
      <c r="DR87" s="486"/>
      <c r="DS87" s="486"/>
      <c r="DT87" s="486"/>
      <c r="DU87" s="486"/>
      <c r="DV87" s="486"/>
      <c r="DW87" s="486"/>
      <c r="DX87" s="486"/>
      <c r="DY87" s="486"/>
      <c r="DZ87" s="486"/>
      <c r="EA87" s="486"/>
      <c r="EB87" s="486"/>
      <c r="EC87" s="486"/>
      <c r="ED87" s="486"/>
      <c r="EE87" s="486"/>
      <c r="EF87" s="486"/>
      <c r="EG87" s="486"/>
      <c r="EH87" s="486"/>
      <c r="EI87" s="486"/>
      <c r="EJ87" s="486"/>
      <c r="EK87" s="486"/>
      <c r="EL87" s="486"/>
      <c r="EM87" s="486"/>
      <c r="EN87" s="486"/>
      <c r="EO87" s="486"/>
      <c r="EP87" s="486"/>
      <c r="EQ87" s="486"/>
      <c r="ER87" s="486"/>
      <c r="ES87" s="486"/>
      <c r="ET87" s="486"/>
      <c r="EU87" s="486"/>
      <c r="EV87" s="486"/>
      <c r="EW87" s="486"/>
      <c r="EX87" s="486"/>
      <c r="EY87" s="486"/>
      <c r="EZ87" s="486"/>
      <c r="FA87" s="486"/>
      <c r="FB87" s="486"/>
      <c r="FC87" s="486"/>
      <c r="FD87" s="486"/>
      <c r="FE87" s="486"/>
      <c r="FF87" s="486"/>
      <c r="FG87" s="486"/>
      <c r="FH87" s="486"/>
    </row>
    <row r="88" spans="1:164" ht="15">
      <c r="A88" s="407">
        <f t="shared" si="60"/>
        <v>129</v>
      </c>
      <c r="B88" s="404" t="s">
        <v>636</v>
      </c>
      <c r="C88" s="1097">
        <v>11</v>
      </c>
      <c r="D88" s="404" t="s">
        <v>1235</v>
      </c>
      <c r="E88" s="404"/>
      <c r="F88" s="1064"/>
      <c r="G88" s="1294"/>
      <c r="H88" s="1303"/>
      <c r="I88" s="1303"/>
      <c r="J88" s="1304"/>
      <c r="K88"/>
      <c r="L88" s="340"/>
      <c r="N88" s="84"/>
      <c r="O88" s="84"/>
      <c r="P88" s="804"/>
      <c r="Q88" s="804"/>
      <c r="R88" s="809"/>
      <c r="S88" s="809"/>
      <c r="T88" s="809"/>
      <c r="U88" s="809"/>
      <c r="V88" s="809"/>
      <c r="W88" s="806"/>
      <c r="X88" s="300"/>
      <c r="Y88" s="300"/>
      <c r="Z88" s="804"/>
      <c r="AA88" s="804"/>
      <c r="AB88" s="804"/>
      <c r="AC88" s="809"/>
      <c r="AD88" s="809"/>
      <c r="AE88" s="809"/>
      <c r="AF88" s="809"/>
      <c r="AG88" s="809"/>
      <c r="AH88" s="809"/>
      <c r="AI88" s="806"/>
      <c r="AJ88" s="806"/>
      <c r="AK88" s="806"/>
      <c r="AL88" s="804"/>
      <c r="AM88" s="804"/>
      <c r="AN88" s="804"/>
      <c r="AO88" s="809"/>
      <c r="AP88" s="809"/>
      <c r="AQ88" s="809"/>
      <c r="AR88" s="809"/>
      <c r="AS88" s="809"/>
      <c r="AT88" s="809"/>
      <c r="AU88" s="809"/>
      <c r="AV88" s="806"/>
      <c r="AW88" s="806"/>
      <c r="AX88" s="806"/>
      <c r="AY88" s="804"/>
      <c r="AZ88" s="804"/>
      <c r="BA88" s="804"/>
      <c r="BB88" s="809"/>
      <c r="BC88" s="809"/>
      <c r="BD88" s="809"/>
      <c r="BE88" s="809"/>
      <c r="BF88" s="948"/>
      <c r="BG88" s="948"/>
      <c r="BH88" s="948"/>
      <c r="BI88" s="806"/>
      <c r="BJ88" s="806"/>
      <c r="BK88" s="806"/>
      <c r="BL88" s="804"/>
      <c r="BM88" s="804"/>
      <c r="BN88" s="804"/>
      <c r="BO88" s="809"/>
      <c r="BP88" s="809"/>
      <c r="BQ88" s="809"/>
      <c r="BR88" s="809"/>
      <c r="BS88" s="948"/>
      <c r="BT88" s="948"/>
      <c r="BU88" s="948"/>
      <c r="BV88" s="806"/>
      <c r="BW88" s="486"/>
      <c r="BX88" s="486"/>
      <c r="BY88" s="486"/>
      <c r="BZ88" s="486"/>
      <c r="CA88" s="486"/>
      <c r="CB88" s="486"/>
      <c r="CC88" s="486"/>
      <c r="CD88" s="486"/>
      <c r="CE88" s="486"/>
      <c r="CF88" s="486"/>
      <c r="CG88" s="486"/>
      <c r="CH88" s="486"/>
      <c r="CI88" s="486"/>
      <c r="CJ88" s="486"/>
      <c r="CK88" s="486"/>
      <c r="CL88" s="486"/>
      <c r="CM88" s="486"/>
      <c r="CN88" s="486"/>
      <c r="CO88" s="486"/>
      <c r="CP88" s="486"/>
      <c r="CQ88" s="486"/>
      <c r="CR88" s="486"/>
      <c r="CS88" s="486"/>
      <c r="CT88" s="486"/>
      <c r="CU88" s="486"/>
      <c r="CV88" s="486"/>
      <c r="CW88" s="486"/>
      <c r="CX88" s="486"/>
      <c r="CY88" s="486"/>
      <c r="CZ88" s="486"/>
      <c r="DA88" s="486"/>
      <c r="DB88" s="486"/>
      <c r="DC88" s="486"/>
      <c r="DD88" s="486"/>
      <c r="DE88" s="486"/>
      <c r="DF88" s="486"/>
      <c r="DG88" s="486"/>
      <c r="DH88" s="486"/>
      <c r="DI88" s="486"/>
      <c r="DJ88" s="486"/>
      <c r="DK88" s="486"/>
      <c r="DL88" s="486"/>
      <c r="DM88" s="486"/>
      <c r="DN88" s="486"/>
      <c r="DO88" s="486"/>
      <c r="DP88" s="486"/>
      <c r="DQ88" s="486"/>
      <c r="DR88" s="486"/>
      <c r="DS88" s="486"/>
      <c r="DT88" s="486"/>
      <c r="DU88" s="486"/>
      <c r="DV88" s="486"/>
      <c r="DW88" s="486"/>
      <c r="DX88" s="486"/>
      <c r="DY88" s="486"/>
      <c r="DZ88" s="486"/>
      <c r="EA88" s="486"/>
      <c r="EB88" s="486"/>
      <c r="EC88" s="486"/>
      <c r="ED88" s="486"/>
      <c r="EE88" s="486"/>
      <c r="EF88" s="486"/>
      <c r="EG88" s="486"/>
      <c r="EH88" s="486"/>
      <c r="EI88" s="486"/>
      <c r="EJ88" s="486"/>
      <c r="EK88" s="486"/>
      <c r="EL88" s="486"/>
      <c r="EM88" s="486"/>
      <c r="EN88" s="486"/>
      <c r="EO88" s="486"/>
      <c r="EP88" s="486"/>
      <c r="EQ88" s="486"/>
      <c r="ER88" s="486"/>
      <c r="ES88" s="486"/>
      <c r="ET88" s="486"/>
      <c r="EU88" s="486"/>
      <c r="EV88" s="486"/>
      <c r="EW88" s="486"/>
      <c r="EX88" s="486"/>
      <c r="EY88" s="486"/>
      <c r="EZ88" s="486"/>
      <c r="FA88" s="486"/>
      <c r="FB88" s="486"/>
      <c r="FC88" s="486"/>
      <c r="FD88" s="486"/>
      <c r="FE88" s="486"/>
      <c r="FF88" s="486"/>
      <c r="FG88" s="486"/>
      <c r="FH88" s="486"/>
    </row>
    <row r="89" spans="1:164" ht="15">
      <c r="A89" s="407">
        <f t="shared" si="60"/>
        <v>130</v>
      </c>
      <c r="B89" s="404" t="s">
        <v>636</v>
      </c>
      <c r="C89" s="1097">
        <v>11</v>
      </c>
      <c r="D89" s="404" t="s">
        <v>1236</v>
      </c>
      <c r="E89" s="404"/>
      <c r="F89" s="1064"/>
      <c r="G89" s="1294"/>
      <c r="H89" s="1303"/>
      <c r="I89" s="1303"/>
      <c r="J89" s="1304"/>
      <c r="K89"/>
      <c r="L89" s="340"/>
      <c r="N89" s="84"/>
      <c r="O89" s="84"/>
      <c r="P89" s="804"/>
      <c r="Q89" s="804"/>
      <c r="R89" s="809"/>
      <c r="S89" s="809"/>
      <c r="T89" s="809"/>
      <c r="U89" s="809"/>
      <c r="V89" s="809"/>
      <c r="W89" s="806"/>
      <c r="X89" s="300"/>
      <c r="Y89" s="300"/>
      <c r="Z89" s="804"/>
      <c r="AA89" s="804"/>
      <c r="AB89" s="804"/>
      <c r="AC89" s="809"/>
      <c r="AD89" s="809"/>
      <c r="AE89" s="809"/>
      <c r="AF89" s="809"/>
      <c r="AG89" s="809"/>
      <c r="AH89" s="809"/>
      <c r="AI89" s="806"/>
      <c r="AJ89" s="806"/>
      <c r="AK89" s="806"/>
      <c r="AL89" s="804"/>
      <c r="AM89" s="804"/>
      <c r="AN89" s="804"/>
      <c r="AO89" s="809"/>
      <c r="AP89" s="809"/>
      <c r="AQ89" s="809"/>
      <c r="AR89" s="809"/>
      <c r="AS89" s="809"/>
      <c r="AT89" s="809"/>
      <c r="AU89" s="809"/>
      <c r="AV89" s="806"/>
      <c r="AW89" s="806"/>
      <c r="AX89" s="806"/>
      <c r="AY89" s="804"/>
      <c r="AZ89" s="804"/>
      <c r="BA89" s="804"/>
      <c r="BB89" s="809"/>
      <c r="BC89" s="809"/>
      <c r="BD89" s="809"/>
      <c r="BE89" s="809"/>
      <c r="BF89" s="948"/>
      <c r="BG89" s="948"/>
      <c r="BH89" s="948"/>
      <c r="BI89" s="806"/>
      <c r="BJ89" s="806"/>
      <c r="BK89" s="806"/>
      <c r="BL89" s="804"/>
      <c r="BM89" s="804"/>
      <c r="BN89" s="804"/>
      <c r="BO89" s="809"/>
      <c r="BP89" s="809"/>
      <c r="BQ89" s="809"/>
      <c r="BR89" s="809"/>
      <c r="BS89" s="948"/>
      <c r="BT89" s="948"/>
      <c r="BU89" s="948"/>
      <c r="BV89" s="806"/>
      <c r="BW89" s="486"/>
      <c r="BX89" s="486"/>
      <c r="BY89" s="486"/>
      <c r="BZ89" s="486"/>
      <c r="CA89" s="486"/>
      <c r="CB89" s="486"/>
      <c r="CC89" s="486"/>
      <c r="CD89" s="486"/>
      <c r="CE89" s="486"/>
      <c r="CF89" s="486"/>
      <c r="CG89" s="486"/>
      <c r="CH89" s="486"/>
      <c r="CI89" s="486"/>
      <c r="CJ89" s="486"/>
      <c r="CK89" s="486"/>
      <c r="CL89" s="486"/>
      <c r="CM89" s="486"/>
      <c r="CN89" s="486"/>
      <c r="CO89" s="486"/>
      <c r="CP89" s="486"/>
      <c r="CQ89" s="486"/>
      <c r="CR89" s="486"/>
      <c r="CS89" s="486"/>
      <c r="CT89" s="486"/>
      <c r="CU89" s="486"/>
      <c r="CV89" s="486"/>
      <c r="CW89" s="486"/>
      <c r="CX89" s="486"/>
      <c r="CY89" s="486"/>
      <c r="CZ89" s="486"/>
      <c r="DA89" s="486"/>
      <c r="DB89" s="486"/>
      <c r="DC89" s="486"/>
      <c r="DD89" s="486"/>
      <c r="DE89" s="486"/>
      <c r="DF89" s="486"/>
      <c r="DG89" s="486"/>
      <c r="DH89" s="486"/>
      <c r="DI89" s="486"/>
      <c r="DJ89" s="486"/>
      <c r="DK89" s="486"/>
      <c r="DL89" s="486"/>
      <c r="DM89" s="486"/>
      <c r="DN89" s="486"/>
      <c r="DO89" s="486"/>
      <c r="DP89" s="486"/>
      <c r="DQ89" s="486"/>
      <c r="DR89" s="486"/>
      <c r="DS89" s="486"/>
      <c r="DT89" s="486"/>
      <c r="DU89" s="486"/>
      <c r="DV89" s="486"/>
      <c r="DW89" s="486"/>
      <c r="DX89" s="486"/>
      <c r="DY89" s="486"/>
      <c r="DZ89" s="486"/>
      <c r="EA89" s="486"/>
      <c r="EB89" s="486"/>
      <c r="EC89" s="486"/>
      <c r="ED89" s="486"/>
      <c r="EE89" s="486"/>
      <c r="EF89" s="486"/>
      <c r="EG89" s="486"/>
      <c r="EH89" s="486"/>
      <c r="EI89" s="486"/>
      <c r="EJ89" s="486"/>
      <c r="EK89" s="486"/>
      <c r="EL89" s="486"/>
      <c r="EM89" s="486"/>
      <c r="EN89" s="486"/>
      <c r="EO89" s="486"/>
      <c r="EP89" s="486"/>
      <c r="EQ89" s="486"/>
      <c r="ER89" s="486"/>
      <c r="ES89" s="486"/>
      <c r="ET89" s="486"/>
      <c r="EU89" s="486"/>
      <c r="EV89" s="486"/>
      <c r="EW89" s="486"/>
      <c r="EX89" s="486"/>
      <c r="EY89" s="486"/>
      <c r="EZ89" s="486"/>
      <c r="FA89" s="486"/>
      <c r="FB89" s="486"/>
      <c r="FC89" s="486"/>
      <c r="FD89" s="486"/>
      <c r="FE89" s="486"/>
      <c r="FF89" s="486"/>
      <c r="FG89" s="486"/>
      <c r="FH89" s="486"/>
    </row>
    <row r="90" spans="1:164" ht="15">
      <c r="A90" s="407">
        <f t="shared" si="60"/>
        <v>131</v>
      </c>
      <c r="B90" s="404" t="s">
        <v>636</v>
      </c>
      <c r="C90" s="1097">
        <v>11</v>
      </c>
      <c r="D90" s="404" t="s">
        <v>1237</v>
      </c>
      <c r="E90" s="404"/>
      <c r="F90" s="1064"/>
      <c r="G90" s="1294"/>
      <c r="H90" s="1303"/>
      <c r="I90" s="1303"/>
      <c r="J90" s="1304"/>
      <c r="K90"/>
      <c r="L90" s="340"/>
      <c r="N90" s="84"/>
      <c r="O90" s="84"/>
      <c r="P90" s="804"/>
      <c r="Q90" s="804"/>
      <c r="R90" s="809"/>
      <c r="S90" s="809"/>
      <c r="T90" s="809"/>
      <c r="U90" s="809"/>
      <c r="V90" s="809"/>
      <c r="W90" s="806"/>
      <c r="X90" s="300"/>
      <c r="Y90" s="300"/>
      <c r="Z90" s="804"/>
      <c r="AA90" s="804"/>
      <c r="AB90" s="804"/>
      <c r="AC90" s="809"/>
      <c r="AD90" s="809"/>
      <c r="AE90" s="809"/>
      <c r="AF90" s="809"/>
      <c r="AG90" s="809"/>
      <c r="AH90" s="809"/>
      <c r="AI90" s="806"/>
      <c r="AJ90" s="806"/>
      <c r="AK90" s="806"/>
      <c r="AL90" s="804"/>
      <c r="AM90" s="804"/>
      <c r="AN90" s="804"/>
      <c r="AO90" s="809"/>
      <c r="AP90" s="809"/>
      <c r="AQ90" s="809"/>
      <c r="AR90" s="809"/>
      <c r="AS90" s="809"/>
      <c r="AT90" s="809"/>
      <c r="AU90" s="809"/>
      <c r="AV90" s="806"/>
      <c r="AW90" s="806"/>
      <c r="AX90" s="806"/>
      <c r="AY90" s="804"/>
      <c r="AZ90" s="804"/>
      <c r="BA90" s="804"/>
      <c r="BB90" s="809"/>
      <c r="BC90" s="809"/>
      <c r="BD90" s="809"/>
      <c r="BE90" s="809"/>
      <c r="BF90" s="948"/>
      <c r="BG90" s="948"/>
      <c r="BH90" s="948"/>
      <c r="BI90" s="806"/>
      <c r="BJ90" s="806"/>
      <c r="BK90" s="806"/>
      <c r="BL90" s="804"/>
      <c r="BM90" s="804"/>
      <c r="BN90" s="804"/>
      <c r="BO90" s="809"/>
      <c r="BP90" s="809"/>
      <c r="BQ90" s="809"/>
      <c r="BR90" s="809"/>
      <c r="BS90" s="948"/>
      <c r="BT90" s="948"/>
      <c r="BU90" s="948"/>
      <c r="BV90" s="806"/>
      <c r="BW90" s="486"/>
      <c r="BX90" s="486"/>
      <c r="BY90" s="486"/>
      <c r="BZ90" s="486"/>
      <c r="CA90" s="486"/>
      <c r="CB90" s="486"/>
      <c r="CC90" s="486"/>
      <c r="CD90" s="486"/>
      <c r="CE90" s="486"/>
      <c r="CF90" s="486"/>
      <c r="CG90" s="486"/>
      <c r="CH90" s="486"/>
      <c r="CI90" s="486"/>
      <c r="CJ90" s="486"/>
      <c r="CK90" s="486"/>
      <c r="CL90" s="486"/>
      <c r="CM90" s="486"/>
      <c r="CN90" s="486"/>
      <c r="CO90" s="486"/>
      <c r="CP90" s="486"/>
      <c r="CQ90" s="486"/>
      <c r="CR90" s="486"/>
      <c r="CS90" s="486"/>
      <c r="CT90" s="486"/>
      <c r="CU90" s="486"/>
      <c r="CV90" s="486"/>
      <c r="CW90" s="486"/>
      <c r="CX90" s="486"/>
      <c r="CY90" s="486"/>
      <c r="CZ90" s="486"/>
      <c r="DA90" s="486"/>
      <c r="DB90" s="486"/>
      <c r="DC90" s="486"/>
      <c r="DD90" s="486"/>
      <c r="DE90" s="486"/>
      <c r="DF90" s="486"/>
      <c r="DG90" s="486"/>
      <c r="DH90" s="486"/>
      <c r="DI90" s="486"/>
      <c r="DJ90" s="486"/>
      <c r="DK90" s="486"/>
      <c r="DL90" s="486"/>
      <c r="DM90" s="486"/>
      <c r="DN90" s="486"/>
      <c r="DO90" s="486"/>
      <c r="DP90" s="486"/>
      <c r="DQ90" s="486"/>
      <c r="DR90" s="486"/>
      <c r="DS90" s="486"/>
      <c r="DT90" s="486"/>
      <c r="DU90" s="486"/>
      <c r="DV90" s="486"/>
      <c r="DW90" s="486"/>
      <c r="DX90" s="486"/>
      <c r="DY90" s="486"/>
      <c r="DZ90" s="486"/>
      <c r="EA90" s="486"/>
      <c r="EB90" s="486"/>
      <c r="EC90" s="486"/>
      <c r="ED90" s="486"/>
      <c r="EE90" s="486"/>
      <c r="EF90" s="486"/>
      <c r="EG90" s="486"/>
      <c r="EH90" s="486"/>
      <c r="EI90" s="486"/>
      <c r="EJ90" s="486"/>
      <c r="EK90" s="486"/>
      <c r="EL90" s="486"/>
      <c r="EM90" s="486"/>
      <c r="EN90" s="486"/>
      <c r="EO90" s="486"/>
      <c r="EP90" s="486"/>
      <c r="EQ90" s="486"/>
      <c r="ER90" s="486"/>
      <c r="ES90" s="486"/>
      <c r="ET90" s="486"/>
      <c r="EU90" s="486"/>
      <c r="EV90" s="486"/>
      <c r="EW90" s="486"/>
      <c r="EX90" s="486"/>
      <c r="EY90" s="486"/>
      <c r="EZ90" s="486"/>
      <c r="FA90" s="486"/>
      <c r="FB90" s="486"/>
      <c r="FC90" s="486"/>
      <c r="FD90" s="486"/>
      <c r="FE90" s="486"/>
      <c r="FF90" s="486"/>
      <c r="FG90" s="486"/>
      <c r="FH90" s="486"/>
    </row>
    <row r="91" spans="1:164" ht="15">
      <c r="A91" s="407">
        <f t="shared" si="60"/>
        <v>132</v>
      </c>
      <c r="B91" s="404" t="s">
        <v>636</v>
      </c>
      <c r="C91" s="1097">
        <v>12</v>
      </c>
      <c r="D91" s="404" t="s">
        <v>1238</v>
      </c>
      <c r="E91" s="404"/>
      <c r="F91" s="1064"/>
      <c r="G91" s="1294"/>
      <c r="H91" s="1303"/>
      <c r="I91" s="1303"/>
      <c r="J91" s="1304"/>
      <c r="K91"/>
      <c r="L91" s="340"/>
      <c r="N91" s="84"/>
      <c r="O91" s="84"/>
      <c r="P91" s="804"/>
      <c r="Q91" s="804"/>
      <c r="R91" s="809"/>
      <c r="S91" s="809"/>
      <c r="T91" s="809"/>
      <c r="U91" s="809"/>
      <c r="V91" s="809"/>
      <c r="W91" s="806"/>
      <c r="X91" s="300"/>
      <c r="Y91" s="300"/>
      <c r="Z91" s="804"/>
      <c r="AA91" s="804"/>
      <c r="AB91" s="804"/>
      <c r="AC91" s="809"/>
      <c r="AD91" s="809"/>
      <c r="AE91" s="809"/>
      <c r="AF91" s="809"/>
      <c r="AG91" s="809"/>
      <c r="AH91" s="809"/>
      <c r="AI91" s="806"/>
      <c r="AJ91" s="806"/>
      <c r="AK91" s="806"/>
      <c r="AL91" s="804"/>
      <c r="AM91" s="804"/>
      <c r="AN91" s="804"/>
      <c r="AO91" s="809"/>
      <c r="AP91" s="809"/>
      <c r="AQ91" s="809"/>
      <c r="AR91" s="809"/>
      <c r="AS91" s="809"/>
      <c r="AT91" s="809"/>
      <c r="AU91" s="809"/>
      <c r="AV91" s="806"/>
      <c r="AW91" s="806"/>
      <c r="AX91" s="806"/>
      <c r="AY91" s="804"/>
      <c r="AZ91" s="804"/>
      <c r="BA91" s="804"/>
      <c r="BB91" s="809"/>
      <c r="BC91" s="809"/>
      <c r="BD91" s="809"/>
      <c r="BE91" s="809"/>
      <c r="BF91" s="948"/>
      <c r="BG91" s="948"/>
      <c r="BH91" s="948"/>
      <c r="BI91" s="806"/>
      <c r="BJ91" s="806"/>
      <c r="BK91" s="806"/>
      <c r="BL91" s="804"/>
      <c r="BM91" s="804"/>
      <c r="BN91" s="804"/>
      <c r="BO91" s="809"/>
      <c r="BP91" s="809"/>
      <c r="BQ91" s="809"/>
      <c r="BR91" s="809"/>
      <c r="BS91" s="948"/>
      <c r="BT91" s="948"/>
      <c r="BU91" s="948"/>
      <c r="BV91" s="806"/>
      <c r="BW91" s="486"/>
      <c r="BX91" s="486"/>
      <c r="BY91" s="486"/>
      <c r="BZ91" s="486"/>
      <c r="CA91" s="486"/>
      <c r="CB91" s="486"/>
      <c r="CC91" s="486"/>
      <c r="CD91" s="486"/>
      <c r="CE91" s="486"/>
      <c r="CF91" s="486"/>
      <c r="CG91" s="486"/>
      <c r="CH91" s="486"/>
      <c r="CI91" s="486"/>
      <c r="CJ91" s="486"/>
      <c r="CK91" s="486"/>
      <c r="CL91" s="486"/>
      <c r="CM91" s="486"/>
      <c r="CN91" s="486"/>
      <c r="CO91" s="486"/>
      <c r="CP91" s="486"/>
      <c r="CQ91" s="486"/>
      <c r="CR91" s="486"/>
      <c r="CS91" s="486"/>
      <c r="CT91" s="486"/>
      <c r="CU91" s="486"/>
      <c r="CV91" s="486"/>
      <c r="CW91" s="486"/>
      <c r="CX91" s="486"/>
      <c r="CY91" s="486"/>
      <c r="CZ91" s="486"/>
      <c r="DA91" s="486"/>
      <c r="DB91" s="486"/>
      <c r="DC91" s="486"/>
      <c r="DD91" s="486"/>
      <c r="DE91" s="486"/>
      <c r="DF91" s="486"/>
      <c r="DG91" s="486"/>
      <c r="DH91" s="486"/>
      <c r="DI91" s="486"/>
      <c r="DJ91" s="486"/>
      <c r="DK91" s="486"/>
      <c r="DL91" s="486"/>
      <c r="DM91" s="486"/>
      <c r="DN91" s="486"/>
      <c r="DO91" s="486"/>
      <c r="DP91" s="486"/>
      <c r="DQ91" s="486"/>
      <c r="DR91" s="486"/>
      <c r="DS91" s="486"/>
      <c r="DT91" s="486"/>
      <c r="DU91" s="486"/>
      <c r="DV91" s="486"/>
      <c r="DW91" s="486"/>
      <c r="DX91" s="486"/>
      <c r="DY91" s="486"/>
      <c r="DZ91" s="486"/>
      <c r="EA91" s="486"/>
      <c r="EB91" s="486"/>
      <c r="EC91" s="486"/>
      <c r="ED91" s="486"/>
      <c r="EE91" s="486"/>
      <c r="EF91" s="486"/>
      <c r="EG91" s="486"/>
      <c r="EH91" s="486"/>
      <c r="EI91" s="486"/>
      <c r="EJ91" s="486"/>
      <c r="EK91" s="486"/>
      <c r="EL91" s="486"/>
      <c r="EM91" s="486"/>
      <c r="EN91" s="486"/>
      <c r="EO91" s="486"/>
      <c r="EP91" s="486"/>
      <c r="EQ91" s="486"/>
      <c r="ER91" s="486"/>
      <c r="ES91" s="486"/>
      <c r="ET91" s="486"/>
      <c r="EU91" s="486"/>
      <c r="EV91" s="486"/>
      <c r="EW91" s="486"/>
      <c r="EX91" s="486"/>
      <c r="EY91" s="486"/>
      <c r="EZ91" s="486"/>
      <c r="FA91" s="486"/>
      <c r="FB91" s="486"/>
      <c r="FC91" s="486"/>
      <c r="FD91" s="486"/>
      <c r="FE91" s="486"/>
      <c r="FF91" s="486"/>
      <c r="FG91" s="486"/>
      <c r="FH91" s="486"/>
    </row>
    <row r="92" spans="1:164" ht="15">
      <c r="A92" s="407">
        <f t="shared" si="60"/>
        <v>133</v>
      </c>
      <c r="B92" s="404" t="s">
        <v>636</v>
      </c>
      <c r="C92" s="1097">
        <v>13</v>
      </c>
      <c r="D92" s="404" t="s">
        <v>1142</v>
      </c>
      <c r="E92" s="404"/>
      <c r="F92" s="1064"/>
      <c r="G92" s="1294"/>
      <c r="H92" s="1303"/>
      <c r="I92" s="1303"/>
      <c r="J92" s="1304"/>
      <c r="K92"/>
      <c r="L92" s="340"/>
      <c r="N92" s="84"/>
      <c r="O92" s="84"/>
      <c r="P92" s="804"/>
      <c r="Q92" s="804"/>
      <c r="R92" s="809"/>
      <c r="S92" s="809"/>
      <c r="T92" s="809"/>
      <c r="U92" s="809"/>
      <c r="V92" s="809"/>
      <c r="W92" s="806"/>
      <c r="X92" s="300"/>
      <c r="Y92" s="300"/>
      <c r="Z92" s="804"/>
      <c r="AA92" s="804"/>
      <c r="AB92" s="804"/>
      <c r="AC92" s="809"/>
      <c r="AD92" s="809"/>
      <c r="AE92" s="809"/>
      <c r="AF92" s="809"/>
      <c r="AG92" s="809"/>
      <c r="AH92" s="809"/>
      <c r="AI92" s="806"/>
      <c r="AJ92" s="806"/>
      <c r="AK92" s="806"/>
      <c r="AL92" s="804"/>
      <c r="AM92" s="804"/>
      <c r="AN92" s="804"/>
      <c r="AO92" s="809"/>
      <c r="AP92" s="809"/>
      <c r="AQ92" s="809"/>
      <c r="AR92" s="809"/>
      <c r="AS92" s="809"/>
      <c r="AT92" s="809"/>
      <c r="AU92" s="809"/>
      <c r="AV92" s="806"/>
      <c r="AW92" s="806"/>
      <c r="AX92" s="806"/>
      <c r="AY92" s="804"/>
      <c r="AZ92" s="804"/>
      <c r="BA92" s="804"/>
      <c r="BB92" s="809"/>
      <c r="BC92" s="809"/>
      <c r="BD92" s="809"/>
      <c r="BE92" s="809"/>
      <c r="BF92" s="948"/>
      <c r="BG92" s="948"/>
      <c r="BH92" s="948"/>
      <c r="BI92" s="806"/>
      <c r="BJ92" s="806"/>
      <c r="BK92" s="806"/>
      <c r="BL92" s="804"/>
      <c r="BM92" s="804"/>
      <c r="BN92" s="804"/>
      <c r="BO92" s="809"/>
      <c r="BP92" s="809"/>
      <c r="BQ92" s="809"/>
      <c r="BR92" s="809"/>
      <c r="BS92" s="948"/>
      <c r="BT92" s="948"/>
      <c r="BU92" s="948"/>
      <c r="BV92" s="806"/>
      <c r="BW92" s="486"/>
      <c r="BX92" s="486"/>
      <c r="BY92" s="486"/>
      <c r="BZ92" s="486"/>
      <c r="CA92" s="486"/>
      <c r="CB92" s="486"/>
      <c r="CC92" s="486"/>
      <c r="CD92" s="486"/>
      <c r="CE92" s="486"/>
      <c r="CF92" s="486"/>
      <c r="CG92" s="486"/>
      <c r="CH92" s="486"/>
      <c r="CI92" s="486"/>
      <c r="CJ92" s="486"/>
      <c r="CK92" s="486"/>
      <c r="CL92" s="486"/>
      <c r="CM92" s="486"/>
      <c r="CN92" s="486"/>
      <c r="CO92" s="486"/>
      <c r="CP92" s="486"/>
      <c r="CQ92" s="486"/>
      <c r="CR92" s="486"/>
      <c r="CS92" s="486"/>
      <c r="CT92" s="486"/>
      <c r="CU92" s="486"/>
      <c r="CV92" s="486"/>
      <c r="CW92" s="486"/>
      <c r="CX92" s="486"/>
      <c r="CY92" s="486"/>
      <c r="CZ92" s="486"/>
      <c r="DA92" s="486"/>
      <c r="DB92" s="486"/>
      <c r="DC92" s="486"/>
      <c r="DD92" s="486"/>
      <c r="DE92" s="486"/>
      <c r="DF92" s="486"/>
      <c r="DG92" s="486"/>
      <c r="DH92" s="486"/>
      <c r="DI92" s="486"/>
      <c r="DJ92" s="486"/>
      <c r="DK92" s="486"/>
      <c r="DL92" s="486"/>
      <c r="DM92" s="486"/>
      <c r="DN92" s="486"/>
      <c r="DO92" s="486"/>
      <c r="DP92" s="486"/>
      <c r="DQ92" s="486"/>
      <c r="DR92" s="486"/>
      <c r="DS92" s="486"/>
      <c r="DT92" s="486"/>
      <c r="DU92" s="486"/>
      <c r="DV92" s="486"/>
      <c r="DW92" s="486"/>
      <c r="DX92" s="486"/>
      <c r="DY92" s="486"/>
      <c r="DZ92" s="486"/>
      <c r="EA92" s="486"/>
      <c r="EB92" s="486"/>
      <c r="EC92" s="486"/>
      <c r="ED92" s="486"/>
      <c r="EE92" s="486"/>
      <c r="EF92" s="486"/>
      <c r="EG92" s="486"/>
      <c r="EH92" s="486"/>
      <c r="EI92" s="486"/>
      <c r="EJ92" s="486"/>
      <c r="EK92" s="486"/>
      <c r="EL92" s="486"/>
      <c r="EM92" s="486"/>
      <c r="EN92" s="486"/>
      <c r="EO92" s="486"/>
      <c r="EP92" s="486"/>
      <c r="EQ92" s="486"/>
      <c r="ER92" s="486"/>
      <c r="ES92" s="486"/>
      <c r="ET92" s="486"/>
      <c r="EU92" s="486"/>
      <c r="EV92" s="486"/>
      <c r="EW92" s="486"/>
      <c r="EX92" s="486"/>
      <c r="EY92" s="486"/>
      <c r="EZ92" s="486"/>
      <c r="FA92" s="486"/>
      <c r="FB92" s="486"/>
      <c r="FC92" s="486"/>
      <c r="FD92" s="486"/>
      <c r="FE92" s="486"/>
      <c r="FF92" s="486"/>
      <c r="FG92" s="486"/>
      <c r="FH92" s="486"/>
    </row>
    <row r="93" spans="1:164" ht="15">
      <c r="A93" s="407">
        <f t="shared" si="60"/>
        <v>134</v>
      </c>
      <c r="B93" s="404" t="s">
        <v>636</v>
      </c>
      <c r="C93" s="1097">
        <v>13</v>
      </c>
      <c r="D93" s="404" t="s">
        <v>1240</v>
      </c>
      <c r="E93" s="404"/>
      <c r="F93" s="1064"/>
      <c r="G93" s="1294"/>
      <c r="H93" s="1303"/>
      <c r="I93" s="1303"/>
      <c r="J93" s="1304"/>
      <c r="K93"/>
      <c r="L93" s="340"/>
      <c r="N93" s="84"/>
      <c r="O93" s="84"/>
      <c r="P93" s="804"/>
      <c r="Q93" s="804"/>
      <c r="R93" s="809"/>
      <c r="S93" s="809"/>
      <c r="T93" s="809"/>
      <c r="U93" s="809"/>
      <c r="V93" s="809"/>
      <c r="W93" s="806"/>
      <c r="X93" s="300"/>
      <c r="Y93" s="300"/>
      <c r="Z93" s="804"/>
      <c r="AA93" s="804"/>
      <c r="AB93" s="804"/>
      <c r="AC93" s="809"/>
      <c r="AD93" s="809"/>
      <c r="AE93" s="809"/>
      <c r="AF93" s="809"/>
      <c r="AG93" s="809"/>
      <c r="AH93" s="809"/>
      <c r="AI93" s="806"/>
      <c r="AJ93" s="806"/>
      <c r="AK93" s="806"/>
      <c r="AL93" s="804"/>
      <c r="AM93" s="804"/>
      <c r="AN93" s="804"/>
      <c r="AO93" s="809"/>
      <c r="AP93" s="809"/>
      <c r="AQ93" s="809"/>
      <c r="AR93" s="809"/>
      <c r="AS93" s="809"/>
      <c r="AT93" s="809"/>
      <c r="AU93" s="809"/>
      <c r="AV93" s="806"/>
      <c r="AW93" s="806"/>
      <c r="AX93" s="806"/>
      <c r="AY93" s="804"/>
      <c r="AZ93" s="804"/>
      <c r="BA93" s="804"/>
      <c r="BB93" s="809"/>
      <c r="BC93" s="809"/>
      <c r="BD93" s="809"/>
      <c r="BE93" s="809"/>
      <c r="BF93" s="948"/>
      <c r="BG93" s="948"/>
      <c r="BH93" s="948"/>
      <c r="BI93" s="806"/>
      <c r="BJ93" s="806"/>
      <c r="BK93" s="806"/>
      <c r="BL93" s="804"/>
      <c r="BM93" s="804"/>
      <c r="BN93" s="804"/>
      <c r="BO93" s="809"/>
      <c r="BP93" s="809"/>
      <c r="BQ93" s="809"/>
      <c r="BR93" s="809"/>
      <c r="BS93" s="948"/>
      <c r="BT93" s="948"/>
      <c r="BU93" s="948"/>
      <c r="BV93" s="806"/>
      <c r="BW93" s="486"/>
      <c r="BX93" s="486"/>
      <c r="BY93" s="486"/>
      <c r="BZ93" s="486"/>
      <c r="CA93" s="486"/>
      <c r="CB93" s="486"/>
      <c r="CC93" s="486"/>
      <c r="CD93" s="486"/>
      <c r="CE93" s="486"/>
      <c r="CF93" s="486"/>
      <c r="CG93" s="486"/>
      <c r="CH93" s="486"/>
      <c r="CI93" s="486"/>
      <c r="CJ93" s="486"/>
      <c r="CK93" s="486"/>
      <c r="CL93" s="486"/>
      <c r="CM93" s="486"/>
      <c r="CN93" s="486"/>
      <c r="CO93" s="486"/>
      <c r="CP93" s="486"/>
      <c r="CQ93" s="486"/>
      <c r="CR93" s="486"/>
      <c r="CS93" s="486"/>
      <c r="CT93" s="486"/>
      <c r="CU93" s="486"/>
      <c r="CV93" s="486"/>
      <c r="CW93" s="486"/>
      <c r="CX93" s="486"/>
      <c r="CY93" s="486"/>
      <c r="CZ93" s="486"/>
      <c r="DA93" s="486"/>
      <c r="DB93" s="486"/>
      <c r="DC93" s="486"/>
      <c r="DD93" s="486"/>
      <c r="DE93" s="486"/>
      <c r="DF93" s="486"/>
      <c r="DG93" s="486"/>
      <c r="DH93" s="486"/>
      <c r="DI93" s="486"/>
      <c r="DJ93" s="486"/>
      <c r="DK93" s="486"/>
      <c r="DL93" s="486"/>
      <c r="DM93" s="486"/>
      <c r="DN93" s="486"/>
      <c r="DO93" s="486"/>
      <c r="DP93" s="486"/>
      <c r="DQ93" s="486"/>
      <c r="DR93" s="486"/>
      <c r="DS93" s="486"/>
      <c r="DT93" s="486"/>
      <c r="DU93" s="486"/>
      <c r="DV93" s="486"/>
      <c r="DW93" s="486"/>
      <c r="DX93" s="486"/>
      <c r="DY93" s="486"/>
      <c r="DZ93" s="486"/>
      <c r="EA93" s="486"/>
      <c r="EB93" s="486"/>
      <c r="EC93" s="486"/>
      <c r="ED93" s="486"/>
      <c r="EE93" s="486"/>
      <c r="EF93" s="486"/>
      <c r="EG93" s="486"/>
      <c r="EH93" s="486"/>
      <c r="EI93" s="486"/>
      <c r="EJ93" s="486"/>
      <c r="EK93" s="486"/>
      <c r="EL93" s="486"/>
      <c r="EM93" s="486"/>
      <c r="EN93" s="486"/>
      <c r="EO93" s="486"/>
      <c r="EP93" s="486"/>
      <c r="EQ93" s="486"/>
      <c r="ER93" s="486"/>
      <c r="ES93" s="486"/>
      <c r="ET93" s="486"/>
      <c r="EU93" s="486"/>
      <c r="EV93" s="486"/>
      <c r="EW93" s="486"/>
      <c r="EX93" s="486"/>
      <c r="EY93" s="486"/>
      <c r="EZ93" s="486"/>
      <c r="FA93" s="486"/>
      <c r="FB93" s="486"/>
      <c r="FC93" s="486"/>
      <c r="FD93" s="486"/>
      <c r="FE93" s="486"/>
      <c r="FF93" s="486"/>
      <c r="FG93" s="486"/>
      <c r="FH93" s="486"/>
    </row>
    <row r="94" spans="1:164" ht="15">
      <c r="A94" s="407">
        <f t="shared" si="60"/>
        <v>135</v>
      </c>
      <c r="B94" s="404" t="s">
        <v>636</v>
      </c>
      <c r="C94" s="1097">
        <v>14</v>
      </c>
      <c r="D94" s="404" t="s">
        <v>1143</v>
      </c>
      <c r="E94" s="404"/>
      <c r="F94" s="1064"/>
      <c r="G94" s="1294"/>
      <c r="H94" s="1303"/>
      <c r="I94" s="1303"/>
      <c r="J94" s="1304"/>
      <c r="K94"/>
      <c r="L94" s="340"/>
      <c r="N94" s="84"/>
      <c r="O94" s="84"/>
      <c r="P94" s="804"/>
      <c r="Q94" s="804"/>
      <c r="R94" s="809"/>
      <c r="S94" s="809"/>
      <c r="T94" s="809"/>
      <c r="U94" s="809"/>
      <c r="V94" s="809"/>
      <c r="W94" s="806"/>
      <c r="X94" s="300"/>
      <c r="Y94" s="300"/>
      <c r="Z94" s="804"/>
      <c r="AA94" s="804"/>
      <c r="AB94" s="804"/>
      <c r="AC94" s="809"/>
      <c r="AD94" s="809"/>
      <c r="AE94" s="809"/>
      <c r="AF94" s="809"/>
      <c r="AG94" s="809"/>
      <c r="AH94" s="809"/>
      <c r="AI94" s="806"/>
      <c r="AJ94" s="806"/>
      <c r="AK94" s="806"/>
      <c r="AL94" s="804"/>
      <c r="AM94" s="804"/>
      <c r="AN94" s="804"/>
      <c r="AO94" s="809"/>
      <c r="AP94" s="809"/>
      <c r="AQ94" s="809"/>
      <c r="AR94" s="809"/>
      <c r="AS94" s="809"/>
      <c r="AT94" s="809"/>
      <c r="AU94" s="809"/>
      <c r="AV94" s="806"/>
      <c r="AW94" s="806"/>
      <c r="AX94" s="806"/>
      <c r="AY94" s="804"/>
      <c r="AZ94" s="804"/>
      <c r="BA94" s="804"/>
      <c r="BB94" s="809"/>
      <c r="BC94" s="809"/>
      <c r="BD94" s="809"/>
      <c r="BE94" s="809"/>
      <c r="BF94" s="948"/>
      <c r="BG94" s="948"/>
      <c r="BH94" s="948"/>
      <c r="BI94" s="806"/>
      <c r="BJ94" s="806"/>
      <c r="BK94" s="806"/>
      <c r="BL94" s="804"/>
      <c r="BM94" s="804"/>
      <c r="BN94" s="804"/>
      <c r="BO94" s="809"/>
      <c r="BP94" s="809"/>
      <c r="BQ94" s="809"/>
      <c r="BR94" s="809"/>
      <c r="BS94" s="948"/>
      <c r="BT94" s="948"/>
      <c r="BU94" s="948"/>
      <c r="BV94" s="806"/>
      <c r="BW94" s="486"/>
      <c r="BX94" s="486"/>
      <c r="BY94" s="486"/>
      <c r="BZ94" s="486"/>
      <c r="CA94" s="486"/>
      <c r="CB94" s="486"/>
      <c r="CC94" s="486"/>
      <c r="CD94" s="486"/>
      <c r="CE94" s="486"/>
      <c r="CF94" s="486"/>
      <c r="CG94" s="486"/>
      <c r="CH94" s="486"/>
      <c r="CI94" s="486"/>
      <c r="CJ94" s="486"/>
      <c r="CK94" s="486"/>
      <c r="CL94" s="486"/>
      <c r="CM94" s="486"/>
      <c r="CN94" s="486"/>
      <c r="CO94" s="486"/>
      <c r="CP94" s="486"/>
      <c r="CQ94" s="486"/>
      <c r="CR94" s="486"/>
      <c r="CS94" s="486"/>
      <c r="CT94" s="486"/>
      <c r="CU94" s="486"/>
      <c r="CV94" s="486"/>
      <c r="CW94" s="486"/>
      <c r="CX94" s="486"/>
      <c r="CY94" s="486"/>
      <c r="CZ94" s="486"/>
      <c r="DA94" s="486"/>
      <c r="DB94" s="486"/>
      <c r="DC94" s="486"/>
      <c r="DD94" s="486"/>
      <c r="DE94" s="486"/>
      <c r="DF94" s="486"/>
      <c r="DG94" s="486"/>
      <c r="DH94" s="486"/>
      <c r="DI94" s="486"/>
      <c r="DJ94" s="486"/>
      <c r="DK94" s="486"/>
      <c r="DL94" s="486"/>
      <c r="DM94" s="486"/>
      <c r="DN94" s="486"/>
      <c r="DO94" s="486"/>
      <c r="DP94" s="486"/>
      <c r="DQ94" s="486"/>
      <c r="DR94" s="486"/>
      <c r="DS94" s="486"/>
      <c r="DT94" s="486"/>
      <c r="DU94" s="486"/>
      <c r="DV94" s="486"/>
      <c r="DW94" s="486"/>
      <c r="DX94" s="486"/>
      <c r="DY94" s="486"/>
      <c r="DZ94" s="486"/>
      <c r="EA94" s="486"/>
      <c r="EB94" s="486"/>
      <c r="EC94" s="486"/>
      <c r="ED94" s="486"/>
      <c r="EE94" s="486"/>
      <c r="EF94" s="486"/>
      <c r="EG94" s="486"/>
      <c r="EH94" s="486"/>
      <c r="EI94" s="486"/>
      <c r="EJ94" s="486"/>
      <c r="EK94" s="486"/>
      <c r="EL94" s="486"/>
      <c r="EM94" s="486"/>
      <c r="EN94" s="486"/>
      <c r="EO94" s="486"/>
      <c r="EP94" s="486"/>
      <c r="EQ94" s="486"/>
      <c r="ER94" s="486"/>
      <c r="ES94" s="486"/>
      <c r="ET94" s="486"/>
      <c r="EU94" s="486"/>
      <c r="EV94" s="486"/>
      <c r="EW94" s="486"/>
      <c r="EX94" s="486"/>
      <c r="EY94" s="486"/>
      <c r="EZ94" s="486"/>
      <c r="FA94" s="486"/>
      <c r="FB94" s="486"/>
      <c r="FC94" s="486"/>
      <c r="FD94" s="486"/>
      <c r="FE94" s="486"/>
      <c r="FF94" s="486"/>
      <c r="FG94" s="486"/>
      <c r="FH94" s="486"/>
    </row>
    <row r="95" spans="1:164" ht="15">
      <c r="A95" s="407">
        <f t="shared" si="60"/>
        <v>136</v>
      </c>
      <c r="B95" s="404" t="s">
        <v>636</v>
      </c>
      <c r="C95" s="1097">
        <v>15</v>
      </c>
      <c r="D95" s="404" t="s">
        <v>1241</v>
      </c>
      <c r="E95" s="404"/>
      <c r="F95" s="1064"/>
      <c r="G95" s="1294"/>
      <c r="H95" s="1303"/>
      <c r="I95" s="1303"/>
      <c r="J95" s="1304"/>
      <c r="K95"/>
      <c r="L95" s="340"/>
      <c r="N95" s="84"/>
      <c r="O95" s="84"/>
      <c r="P95" s="804"/>
      <c r="Q95" s="804"/>
      <c r="R95" s="809"/>
      <c r="S95" s="809"/>
      <c r="T95" s="809"/>
      <c r="U95" s="809"/>
      <c r="V95" s="809"/>
      <c r="W95" s="806"/>
      <c r="X95" s="300"/>
      <c r="Y95" s="300"/>
      <c r="Z95" s="804"/>
      <c r="AA95" s="804"/>
      <c r="AB95" s="804"/>
      <c r="AC95" s="809"/>
      <c r="AD95" s="809"/>
      <c r="AE95" s="809"/>
      <c r="AF95" s="809"/>
      <c r="AG95" s="809"/>
      <c r="AH95" s="809"/>
      <c r="AI95" s="806"/>
      <c r="AJ95" s="806"/>
      <c r="AK95" s="806"/>
      <c r="AL95" s="804"/>
      <c r="AM95" s="804"/>
      <c r="AN95" s="804"/>
      <c r="AO95" s="809"/>
      <c r="AP95" s="809"/>
      <c r="AQ95" s="809"/>
      <c r="AR95" s="809"/>
      <c r="AS95" s="809"/>
      <c r="AT95" s="809"/>
      <c r="AU95" s="809"/>
      <c r="AV95" s="806"/>
      <c r="AW95" s="806"/>
      <c r="AX95" s="806"/>
      <c r="AY95" s="804"/>
      <c r="AZ95" s="804"/>
      <c r="BA95" s="804"/>
      <c r="BB95" s="809"/>
      <c r="BC95" s="809"/>
      <c r="BD95" s="809"/>
      <c r="BE95" s="809"/>
      <c r="BF95" s="948"/>
      <c r="BG95" s="948"/>
      <c r="BH95" s="948"/>
      <c r="BI95" s="806"/>
      <c r="BJ95" s="806"/>
      <c r="BK95" s="806"/>
      <c r="BL95" s="804"/>
      <c r="BM95" s="804"/>
      <c r="BN95" s="804"/>
      <c r="BO95" s="809"/>
      <c r="BP95" s="809"/>
      <c r="BQ95" s="809"/>
      <c r="BR95" s="809"/>
      <c r="BS95" s="948"/>
      <c r="BT95" s="948"/>
      <c r="BU95" s="948"/>
      <c r="BV95" s="806"/>
      <c r="BW95" s="486"/>
      <c r="BX95" s="486"/>
      <c r="BY95" s="486"/>
      <c r="BZ95" s="486"/>
      <c r="CA95" s="486"/>
      <c r="CB95" s="486"/>
      <c r="CC95" s="486"/>
      <c r="CD95" s="486"/>
      <c r="CE95" s="486"/>
      <c r="CF95" s="486"/>
      <c r="CG95" s="486"/>
      <c r="CH95" s="486"/>
      <c r="CI95" s="486"/>
      <c r="CJ95" s="486"/>
      <c r="CK95" s="486"/>
      <c r="CL95" s="486"/>
      <c r="CM95" s="486"/>
      <c r="CN95" s="486"/>
      <c r="CO95" s="486"/>
      <c r="CP95" s="486"/>
      <c r="CQ95" s="486"/>
      <c r="CR95" s="486"/>
      <c r="CS95" s="486"/>
      <c r="CT95" s="486"/>
      <c r="CU95" s="486"/>
      <c r="CV95" s="486"/>
      <c r="CW95" s="486"/>
      <c r="CX95" s="486"/>
      <c r="CY95" s="486"/>
      <c r="CZ95" s="486"/>
      <c r="DA95" s="486"/>
      <c r="DB95" s="486"/>
      <c r="DC95" s="486"/>
      <c r="DD95" s="486"/>
      <c r="DE95" s="486"/>
      <c r="DF95" s="486"/>
      <c r="DG95" s="486"/>
      <c r="DH95" s="486"/>
      <c r="DI95" s="486"/>
      <c r="DJ95" s="486"/>
      <c r="DK95" s="486"/>
      <c r="DL95" s="486"/>
      <c r="DM95" s="486"/>
      <c r="DN95" s="486"/>
      <c r="DO95" s="486"/>
      <c r="DP95" s="486"/>
      <c r="DQ95" s="486"/>
      <c r="DR95" s="486"/>
      <c r="DS95" s="486"/>
      <c r="DT95" s="486"/>
      <c r="DU95" s="486"/>
      <c r="DV95" s="486"/>
      <c r="DW95" s="486"/>
      <c r="DX95" s="486"/>
      <c r="DY95" s="486"/>
      <c r="DZ95" s="486"/>
      <c r="EA95" s="486"/>
      <c r="EB95" s="486"/>
      <c r="EC95" s="486"/>
      <c r="ED95" s="486"/>
      <c r="EE95" s="486"/>
      <c r="EF95" s="486"/>
      <c r="EG95" s="486"/>
      <c r="EH95" s="486"/>
      <c r="EI95" s="486"/>
      <c r="EJ95" s="486"/>
      <c r="EK95" s="486"/>
      <c r="EL95" s="486"/>
      <c r="EM95" s="486"/>
      <c r="EN95" s="486"/>
      <c r="EO95" s="486"/>
      <c r="EP95" s="486"/>
      <c r="EQ95" s="486"/>
      <c r="ER95" s="486"/>
      <c r="ES95" s="486"/>
      <c r="ET95" s="486"/>
      <c r="EU95" s="486"/>
      <c r="EV95" s="486"/>
      <c r="EW95" s="486"/>
      <c r="EX95" s="486"/>
      <c r="EY95" s="486"/>
      <c r="EZ95" s="486"/>
      <c r="FA95" s="486"/>
      <c r="FB95" s="486"/>
      <c r="FC95" s="486"/>
      <c r="FD95" s="486"/>
      <c r="FE95" s="486"/>
      <c r="FF95" s="486"/>
      <c r="FG95" s="486"/>
      <c r="FH95" s="486"/>
    </row>
    <row r="96" spans="1:164" ht="15">
      <c r="A96" s="407">
        <f t="shared" si="60"/>
        <v>137</v>
      </c>
      <c r="B96" s="404" t="s">
        <v>636</v>
      </c>
      <c r="C96" s="1097">
        <v>15</v>
      </c>
      <c r="D96" s="404" t="s">
        <v>1242</v>
      </c>
      <c r="E96" s="404"/>
      <c r="F96" s="1064"/>
      <c r="G96" s="1294"/>
      <c r="H96" s="1303"/>
      <c r="I96" s="1303"/>
      <c r="J96" s="1304"/>
      <c r="K96"/>
      <c r="L96" s="340"/>
      <c r="N96" s="84"/>
      <c r="O96" s="84"/>
      <c r="P96" s="804"/>
      <c r="Q96" s="804"/>
      <c r="R96" s="809"/>
      <c r="S96" s="809"/>
      <c r="T96" s="809"/>
      <c r="U96" s="809"/>
      <c r="V96" s="809"/>
      <c r="W96" s="806"/>
      <c r="X96" s="300"/>
      <c r="Y96" s="300"/>
      <c r="Z96" s="804"/>
      <c r="AA96" s="804"/>
      <c r="AB96" s="804"/>
      <c r="AC96" s="809"/>
      <c r="AD96" s="809"/>
      <c r="AE96" s="809"/>
      <c r="AF96" s="809"/>
      <c r="AG96" s="809"/>
      <c r="AH96" s="809"/>
      <c r="AI96" s="806"/>
      <c r="AJ96" s="806"/>
      <c r="AK96" s="806"/>
      <c r="AL96" s="804"/>
      <c r="AM96" s="804"/>
      <c r="AN96" s="804"/>
      <c r="AO96" s="809"/>
      <c r="AP96" s="809"/>
      <c r="AQ96" s="809"/>
      <c r="AR96" s="809"/>
      <c r="AS96" s="809"/>
      <c r="AT96" s="809"/>
      <c r="AU96" s="809"/>
      <c r="AV96" s="806"/>
      <c r="AW96" s="806"/>
      <c r="AX96" s="806"/>
      <c r="AY96" s="804"/>
      <c r="AZ96" s="804"/>
      <c r="BA96" s="804"/>
      <c r="BB96" s="809"/>
      <c r="BC96" s="809"/>
      <c r="BD96" s="809"/>
      <c r="BE96" s="809"/>
      <c r="BF96" s="948"/>
      <c r="BG96" s="948"/>
      <c r="BH96" s="948"/>
      <c r="BI96" s="806"/>
      <c r="BJ96" s="806"/>
      <c r="BK96" s="806"/>
      <c r="BL96" s="804"/>
      <c r="BM96" s="804"/>
      <c r="BN96" s="804"/>
      <c r="BO96" s="809"/>
      <c r="BP96" s="809"/>
      <c r="BQ96" s="809"/>
      <c r="BR96" s="809"/>
      <c r="BS96" s="948"/>
      <c r="BT96" s="948"/>
      <c r="BU96" s="948"/>
      <c r="BV96" s="806"/>
      <c r="BW96" s="486"/>
      <c r="BX96" s="486"/>
      <c r="BY96" s="486"/>
      <c r="BZ96" s="486"/>
      <c r="CA96" s="486"/>
      <c r="CB96" s="486"/>
      <c r="CC96" s="486"/>
      <c r="CD96" s="486"/>
      <c r="CE96" s="486"/>
      <c r="CF96" s="486"/>
      <c r="CG96" s="486"/>
      <c r="CH96" s="486"/>
      <c r="CI96" s="486"/>
      <c r="CJ96" s="486"/>
      <c r="CK96" s="486"/>
      <c r="CL96" s="486"/>
      <c r="CM96" s="486"/>
      <c r="CN96" s="486"/>
      <c r="CO96" s="486"/>
      <c r="CP96" s="486"/>
      <c r="CQ96" s="486"/>
      <c r="CR96" s="486"/>
      <c r="CS96" s="486"/>
      <c r="CT96" s="486"/>
      <c r="CU96" s="486"/>
      <c r="CV96" s="486"/>
      <c r="CW96" s="486"/>
      <c r="CX96" s="486"/>
      <c r="CY96" s="486"/>
      <c r="CZ96" s="486"/>
      <c r="DA96" s="486"/>
      <c r="DB96" s="486"/>
      <c r="DC96" s="486"/>
      <c r="DD96" s="486"/>
      <c r="DE96" s="486"/>
      <c r="DF96" s="486"/>
      <c r="DG96" s="486"/>
      <c r="DH96" s="486"/>
      <c r="DI96" s="486"/>
      <c r="DJ96" s="486"/>
      <c r="DK96" s="486"/>
      <c r="DL96" s="486"/>
      <c r="DM96" s="486"/>
      <c r="DN96" s="486"/>
      <c r="DO96" s="486"/>
      <c r="DP96" s="486"/>
      <c r="DQ96" s="486"/>
      <c r="DR96" s="486"/>
      <c r="DS96" s="486"/>
      <c r="DT96" s="486"/>
      <c r="DU96" s="486"/>
      <c r="DV96" s="486"/>
      <c r="DW96" s="486"/>
      <c r="DX96" s="486"/>
      <c r="DY96" s="486"/>
      <c r="DZ96" s="486"/>
      <c r="EA96" s="486"/>
      <c r="EB96" s="486"/>
      <c r="EC96" s="486"/>
      <c r="ED96" s="486"/>
      <c r="EE96" s="486"/>
      <c r="EF96" s="486"/>
      <c r="EG96" s="486"/>
      <c r="EH96" s="486"/>
      <c r="EI96" s="486"/>
      <c r="EJ96" s="486"/>
      <c r="EK96" s="486"/>
      <c r="EL96" s="486"/>
      <c r="EM96" s="486"/>
      <c r="EN96" s="486"/>
      <c r="EO96" s="486"/>
      <c r="EP96" s="486"/>
      <c r="EQ96" s="486"/>
      <c r="ER96" s="486"/>
      <c r="ES96" s="486"/>
      <c r="ET96" s="486"/>
      <c r="EU96" s="486"/>
      <c r="EV96" s="486"/>
      <c r="EW96" s="486"/>
      <c r="EX96" s="486"/>
      <c r="EY96" s="486"/>
      <c r="EZ96" s="486"/>
      <c r="FA96" s="486"/>
      <c r="FB96" s="486"/>
      <c r="FC96" s="486"/>
      <c r="FD96" s="486"/>
      <c r="FE96" s="486"/>
      <c r="FF96" s="486"/>
      <c r="FG96" s="486"/>
      <c r="FH96" s="486"/>
    </row>
    <row r="97" spans="1:164" ht="15">
      <c r="A97" s="407">
        <f t="shared" si="60"/>
        <v>138</v>
      </c>
      <c r="B97" s="404" t="s">
        <v>636</v>
      </c>
      <c r="C97" s="1097">
        <v>15</v>
      </c>
      <c r="D97" s="404" t="s">
        <v>1243</v>
      </c>
      <c r="E97" s="404"/>
      <c r="F97" s="1064"/>
      <c r="G97" s="1294"/>
      <c r="H97" s="1303"/>
      <c r="I97" s="1303"/>
      <c r="J97" s="1304"/>
      <c r="K97"/>
      <c r="L97" s="340"/>
      <c r="N97" s="84"/>
      <c r="O97" s="84"/>
      <c r="P97" s="804"/>
      <c r="Q97" s="804"/>
      <c r="R97" s="809"/>
      <c r="S97" s="809"/>
      <c r="T97" s="809"/>
      <c r="U97" s="809"/>
      <c r="V97" s="809"/>
      <c r="W97" s="806"/>
      <c r="X97" s="300"/>
      <c r="Y97" s="300"/>
      <c r="Z97" s="804"/>
      <c r="AA97" s="804"/>
      <c r="AB97" s="804"/>
      <c r="AC97" s="809"/>
      <c r="AD97" s="809"/>
      <c r="AE97" s="809"/>
      <c r="AF97" s="809"/>
      <c r="AG97" s="809"/>
      <c r="AH97" s="809"/>
      <c r="AI97" s="806"/>
      <c r="AJ97" s="806"/>
      <c r="AK97" s="806"/>
      <c r="AL97" s="804"/>
      <c r="AM97" s="804"/>
      <c r="AN97" s="804"/>
      <c r="AO97" s="809"/>
      <c r="AP97" s="809"/>
      <c r="AQ97" s="809"/>
      <c r="AR97" s="809"/>
      <c r="AS97" s="809"/>
      <c r="AT97" s="809"/>
      <c r="AU97" s="809"/>
      <c r="AV97" s="806"/>
      <c r="AW97" s="806"/>
      <c r="AX97" s="806"/>
      <c r="AY97" s="804"/>
      <c r="AZ97" s="804"/>
      <c r="BA97" s="804"/>
      <c r="BB97" s="809"/>
      <c r="BC97" s="809"/>
      <c r="BD97" s="809"/>
      <c r="BE97" s="809"/>
      <c r="BF97" s="948"/>
      <c r="BG97" s="948"/>
      <c r="BH97" s="948"/>
      <c r="BI97" s="806"/>
      <c r="BJ97" s="806"/>
      <c r="BK97" s="806"/>
      <c r="BL97" s="804"/>
      <c r="BM97" s="804"/>
      <c r="BN97" s="804"/>
      <c r="BO97" s="809"/>
      <c r="BP97" s="809"/>
      <c r="BQ97" s="809"/>
      <c r="BR97" s="809"/>
      <c r="BS97" s="948"/>
      <c r="BT97" s="948"/>
      <c r="BU97" s="948"/>
      <c r="BV97" s="806"/>
      <c r="BW97" s="486"/>
      <c r="BX97" s="486"/>
      <c r="BY97" s="486"/>
      <c r="BZ97" s="486"/>
      <c r="CA97" s="486"/>
      <c r="CB97" s="486"/>
      <c r="CC97" s="486"/>
      <c r="CD97" s="486"/>
      <c r="CE97" s="486"/>
      <c r="CF97" s="486"/>
      <c r="CG97" s="486"/>
      <c r="CH97" s="486"/>
      <c r="CI97" s="486"/>
      <c r="CJ97" s="486"/>
      <c r="CK97" s="486"/>
      <c r="CL97" s="486"/>
      <c r="CM97" s="486"/>
      <c r="CN97" s="486"/>
      <c r="CO97" s="486"/>
      <c r="CP97" s="486"/>
      <c r="CQ97" s="486"/>
      <c r="CR97" s="486"/>
      <c r="CS97" s="486"/>
      <c r="CT97" s="486"/>
      <c r="CU97" s="486"/>
      <c r="CV97" s="486"/>
      <c r="CW97" s="486"/>
      <c r="CX97" s="486"/>
      <c r="CY97" s="486"/>
      <c r="CZ97" s="486"/>
      <c r="DA97" s="486"/>
      <c r="DB97" s="486"/>
      <c r="DC97" s="486"/>
      <c r="DD97" s="486"/>
      <c r="DE97" s="486"/>
      <c r="DF97" s="486"/>
      <c r="DG97" s="486"/>
      <c r="DH97" s="486"/>
      <c r="DI97" s="486"/>
      <c r="DJ97" s="486"/>
      <c r="DK97" s="486"/>
      <c r="DL97" s="486"/>
      <c r="DM97" s="486"/>
      <c r="DN97" s="486"/>
      <c r="DO97" s="486"/>
      <c r="DP97" s="486"/>
      <c r="DQ97" s="486"/>
      <c r="DR97" s="486"/>
      <c r="DS97" s="486"/>
      <c r="DT97" s="486"/>
      <c r="DU97" s="486"/>
      <c r="DV97" s="486"/>
      <c r="DW97" s="486"/>
      <c r="DX97" s="486"/>
      <c r="DY97" s="486"/>
      <c r="DZ97" s="486"/>
      <c r="EA97" s="486"/>
      <c r="EB97" s="486"/>
      <c r="EC97" s="486"/>
      <c r="ED97" s="486"/>
      <c r="EE97" s="486"/>
      <c r="EF97" s="486"/>
      <c r="EG97" s="486"/>
      <c r="EH97" s="486"/>
      <c r="EI97" s="486"/>
      <c r="EJ97" s="486"/>
      <c r="EK97" s="486"/>
      <c r="EL97" s="486"/>
      <c r="EM97" s="486"/>
      <c r="EN97" s="486"/>
      <c r="EO97" s="486"/>
      <c r="EP97" s="486"/>
      <c r="EQ97" s="486"/>
      <c r="ER97" s="486"/>
      <c r="ES97" s="486"/>
      <c r="ET97" s="486"/>
      <c r="EU97" s="486"/>
      <c r="EV97" s="486"/>
      <c r="EW97" s="486"/>
      <c r="EX97" s="486"/>
      <c r="EY97" s="486"/>
      <c r="EZ97" s="486"/>
      <c r="FA97" s="486"/>
      <c r="FB97" s="486"/>
      <c r="FC97" s="486"/>
      <c r="FD97" s="486"/>
      <c r="FE97" s="486"/>
      <c r="FF97" s="486"/>
      <c r="FG97" s="486"/>
      <c r="FH97" s="486"/>
    </row>
    <row r="98" spans="1:164" ht="15">
      <c r="A98" s="407">
        <f t="shared" si="60"/>
        <v>139</v>
      </c>
      <c r="B98" s="404"/>
      <c r="C98" s="1097">
        <v>15</v>
      </c>
      <c r="D98" s="404" t="s">
        <v>1144</v>
      </c>
      <c r="E98" s="404"/>
      <c r="F98" s="1064"/>
      <c r="G98" s="1294"/>
      <c r="H98" s="1303"/>
      <c r="I98" s="1303"/>
      <c r="J98" s="1304"/>
      <c r="K98"/>
      <c r="L98" s="340"/>
      <c r="N98" s="84"/>
      <c r="O98" s="84"/>
      <c r="P98" s="804"/>
      <c r="Q98" s="804"/>
      <c r="R98" s="809"/>
      <c r="S98" s="809"/>
      <c r="T98" s="809"/>
      <c r="U98" s="809"/>
      <c r="V98" s="809"/>
      <c r="W98" s="806"/>
      <c r="X98" s="300"/>
      <c r="Y98" s="300"/>
      <c r="Z98" s="804"/>
      <c r="AA98" s="804"/>
      <c r="AB98" s="804"/>
      <c r="AC98" s="809"/>
      <c r="AD98" s="809"/>
      <c r="AE98" s="809"/>
      <c r="AF98" s="809"/>
      <c r="AG98" s="809"/>
      <c r="AH98" s="809"/>
      <c r="AI98" s="806"/>
      <c r="AJ98" s="806"/>
      <c r="AK98" s="806"/>
      <c r="AL98" s="804"/>
      <c r="AM98" s="804"/>
      <c r="AN98" s="804"/>
      <c r="AO98" s="809"/>
      <c r="AP98" s="809"/>
      <c r="AQ98" s="809"/>
      <c r="AR98" s="809"/>
      <c r="AS98" s="809"/>
      <c r="AT98" s="809"/>
      <c r="AU98" s="809"/>
      <c r="AV98" s="806"/>
      <c r="AW98" s="806"/>
      <c r="AX98" s="806"/>
      <c r="AY98" s="804"/>
      <c r="AZ98" s="804"/>
      <c r="BA98" s="804"/>
      <c r="BB98" s="809"/>
      <c r="BC98" s="809"/>
      <c r="BD98" s="809"/>
      <c r="BE98" s="809"/>
      <c r="BF98" s="948"/>
      <c r="BG98" s="948"/>
      <c r="BH98" s="948"/>
      <c r="BI98" s="806"/>
      <c r="BJ98" s="806"/>
      <c r="BK98" s="806"/>
      <c r="BL98" s="804"/>
      <c r="BM98" s="804"/>
      <c r="BN98" s="804"/>
      <c r="BO98" s="809"/>
      <c r="BP98" s="809"/>
      <c r="BQ98" s="809"/>
      <c r="BR98" s="809"/>
      <c r="BS98" s="948"/>
      <c r="BT98" s="948"/>
      <c r="BU98" s="948"/>
      <c r="BV98" s="806"/>
      <c r="BW98" s="486"/>
      <c r="BX98" s="486"/>
      <c r="BY98" s="486"/>
      <c r="BZ98" s="486"/>
      <c r="CA98" s="486"/>
      <c r="CB98" s="486"/>
      <c r="CC98" s="486"/>
      <c r="CD98" s="486"/>
      <c r="CE98" s="486"/>
      <c r="CF98" s="486"/>
      <c r="CG98" s="486"/>
      <c r="CH98" s="486"/>
      <c r="CI98" s="486"/>
      <c r="CJ98" s="486"/>
      <c r="CK98" s="486"/>
      <c r="CL98" s="486"/>
      <c r="CM98" s="486"/>
      <c r="CN98" s="486"/>
      <c r="CO98" s="486"/>
      <c r="CP98" s="486"/>
      <c r="CQ98" s="486"/>
      <c r="CR98" s="486"/>
      <c r="CS98" s="486"/>
      <c r="CT98" s="486"/>
      <c r="CU98" s="486"/>
      <c r="CV98" s="486"/>
      <c r="CW98" s="486"/>
      <c r="CX98" s="486"/>
      <c r="CY98" s="486"/>
      <c r="CZ98" s="486"/>
      <c r="DA98" s="486"/>
      <c r="DB98" s="486"/>
      <c r="DC98" s="486"/>
      <c r="DD98" s="486"/>
      <c r="DE98" s="486"/>
      <c r="DF98" s="486"/>
      <c r="DG98" s="486"/>
      <c r="DH98" s="486"/>
      <c r="DI98" s="486"/>
      <c r="DJ98" s="486"/>
      <c r="DK98" s="486"/>
      <c r="DL98" s="486"/>
      <c r="DM98" s="486"/>
      <c r="DN98" s="486"/>
      <c r="DO98" s="486"/>
      <c r="DP98" s="486"/>
      <c r="DQ98" s="486"/>
      <c r="DR98" s="486"/>
      <c r="DS98" s="486"/>
      <c r="DT98" s="486"/>
      <c r="DU98" s="486"/>
      <c r="DV98" s="486"/>
      <c r="DW98" s="486"/>
      <c r="DX98" s="486"/>
      <c r="DY98" s="486"/>
      <c r="DZ98" s="486"/>
      <c r="EA98" s="486"/>
      <c r="EB98" s="486"/>
      <c r="EC98" s="486"/>
      <c r="ED98" s="486"/>
      <c r="EE98" s="486"/>
      <c r="EF98" s="486"/>
      <c r="EG98" s="486"/>
      <c r="EH98" s="486"/>
      <c r="EI98" s="486"/>
      <c r="EJ98" s="486"/>
      <c r="EK98" s="486"/>
      <c r="EL98" s="486"/>
      <c r="EM98" s="486"/>
      <c r="EN98" s="486"/>
      <c r="EO98" s="486"/>
      <c r="EP98" s="486"/>
      <c r="EQ98" s="486"/>
      <c r="ER98" s="486"/>
      <c r="ES98" s="486"/>
      <c r="ET98" s="486"/>
      <c r="EU98" s="486"/>
      <c r="EV98" s="486"/>
      <c r="EW98" s="486"/>
      <c r="EX98" s="486"/>
      <c r="EY98" s="486"/>
      <c r="EZ98" s="486"/>
      <c r="FA98" s="486"/>
      <c r="FB98" s="486"/>
      <c r="FC98" s="486"/>
      <c r="FD98" s="486"/>
      <c r="FE98" s="486"/>
      <c r="FF98" s="486"/>
      <c r="FG98" s="486"/>
      <c r="FH98" s="486"/>
    </row>
    <row r="99" spans="1:164" ht="15">
      <c r="A99" s="407">
        <f t="shared" si="60"/>
        <v>140</v>
      </c>
      <c r="B99" s="404" t="s">
        <v>636</v>
      </c>
      <c r="C99" s="1097">
        <v>16</v>
      </c>
      <c r="D99" s="404" t="s">
        <v>1244</v>
      </c>
      <c r="E99" s="404"/>
      <c r="F99" s="1064"/>
      <c r="G99" s="1294"/>
      <c r="H99" s="1303"/>
      <c r="I99" s="1303"/>
      <c r="J99" s="1304"/>
      <c r="K99"/>
      <c r="L99" s="340"/>
      <c r="N99" s="84"/>
      <c r="O99" s="84"/>
      <c r="P99" s="804"/>
      <c r="Q99" s="804"/>
      <c r="R99" s="809"/>
      <c r="S99" s="809"/>
      <c r="T99" s="809"/>
      <c r="U99" s="809"/>
      <c r="V99" s="809"/>
      <c r="W99" s="806"/>
      <c r="X99" s="300"/>
      <c r="Y99" s="300"/>
      <c r="Z99" s="804"/>
      <c r="AA99" s="804"/>
      <c r="AB99" s="804"/>
      <c r="AC99" s="809"/>
      <c r="AD99" s="809"/>
      <c r="AE99" s="809"/>
      <c r="AF99" s="809"/>
      <c r="AG99" s="809"/>
      <c r="AH99" s="809"/>
      <c r="AI99" s="806"/>
      <c r="AJ99" s="806"/>
      <c r="AK99" s="806"/>
      <c r="AL99" s="804"/>
      <c r="AM99" s="804"/>
      <c r="AN99" s="804"/>
      <c r="AO99" s="809"/>
      <c r="AP99" s="809"/>
      <c r="AQ99" s="809"/>
      <c r="AR99" s="809"/>
      <c r="AS99" s="809"/>
      <c r="AT99" s="809"/>
      <c r="AU99" s="809"/>
      <c r="AV99" s="806"/>
      <c r="AW99" s="806"/>
      <c r="AX99" s="806"/>
      <c r="AY99" s="804"/>
      <c r="AZ99" s="804"/>
      <c r="BA99" s="804"/>
      <c r="BB99" s="809"/>
      <c r="BC99" s="809"/>
      <c r="BD99" s="809"/>
      <c r="BE99" s="809"/>
      <c r="BF99" s="948"/>
      <c r="BG99" s="948"/>
      <c r="BH99" s="948"/>
      <c r="BI99" s="806"/>
      <c r="BJ99" s="806"/>
      <c r="BK99" s="806"/>
      <c r="BL99" s="804"/>
      <c r="BM99" s="804"/>
      <c r="BN99" s="804"/>
      <c r="BO99" s="809"/>
      <c r="BP99" s="809"/>
      <c r="BQ99" s="809"/>
      <c r="BR99" s="809"/>
      <c r="BS99" s="948"/>
      <c r="BT99" s="948"/>
      <c r="BU99" s="948"/>
      <c r="BV99" s="806"/>
      <c r="BW99" s="486"/>
      <c r="BX99" s="486"/>
      <c r="BY99" s="486"/>
      <c r="BZ99" s="486"/>
      <c r="CA99" s="486"/>
      <c r="CB99" s="486"/>
      <c r="CC99" s="486"/>
      <c r="CD99" s="486"/>
      <c r="CE99" s="486"/>
      <c r="CF99" s="486"/>
      <c r="CG99" s="486"/>
      <c r="CH99" s="486"/>
      <c r="CI99" s="486"/>
      <c r="CJ99" s="486"/>
      <c r="CK99" s="486"/>
      <c r="CL99" s="486"/>
      <c r="CM99" s="486"/>
      <c r="CN99" s="486"/>
      <c r="CO99" s="486"/>
      <c r="CP99" s="486"/>
      <c r="CQ99" s="486"/>
      <c r="CR99" s="486"/>
      <c r="CS99" s="486"/>
      <c r="CT99" s="486"/>
      <c r="CU99" s="486"/>
      <c r="CV99" s="486"/>
      <c r="CW99" s="486"/>
      <c r="CX99" s="486"/>
      <c r="CY99" s="486"/>
      <c r="CZ99" s="486"/>
      <c r="DA99" s="486"/>
      <c r="DB99" s="486"/>
      <c r="DC99" s="486"/>
      <c r="DD99" s="486"/>
      <c r="DE99" s="486"/>
      <c r="DF99" s="486"/>
      <c r="DG99" s="486"/>
      <c r="DH99" s="486"/>
      <c r="DI99" s="486"/>
      <c r="DJ99" s="486"/>
      <c r="DK99" s="486"/>
      <c r="DL99" s="486"/>
      <c r="DM99" s="486"/>
      <c r="DN99" s="486"/>
      <c r="DO99" s="486"/>
      <c r="DP99" s="486"/>
      <c r="DQ99" s="486"/>
      <c r="DR99" s="486"/>
      <c r="DS99" s="486"/>
      <c r="DT99" s="486"/>
      <c r="DU99" s="486"/>
      <c r="DV99" s="486"/>
      <c r="DW99" s="486"/>
      <c r="DX99" s="486"/>
      <c r="DY99" s="486"/>
      <c r="DZ99" s="486"/>
      <c r="EA99" s="486"/>
      <c r="EB99" s="486"/>
      <c r="EC99" s="486"/>
      <c r="ED99" s="486"/>
      <c r="EE99" s="486"/>
      <c r="EF99" s="486"/>
      <c r="EG99" s="486"/>
      <c r="EH99" s="486"/>
      <c r="EI99" s="486"/>
      <c r="EJ99" s="486"/>
      <c r="EK99" s="486"/>
      <c r="EL99" s="486"/>
      <c r="EM99" s="486"/>
      <c r="EN99" s="486"/>
      <c r="EO99" s="486"/>
      <c r="EP99" s="486"/>
      <c r="EQ99" s="486"/>
      <c r="ER99" s="486"/>
      <c r="ES99" s="486"/>
      <c r="ET99" s="486"/>
      <c r="EU99" s="486"/>
      <c r="EV99" s="486"/>
      <c r="EW99" s="486"/>
      <c r="EX99" s="486"/>
      <c r="EY99" s="486"/>
      <c r="EZ99" s="486"/>
      <c r="FA99" s="486"/>
      <c r="FB99" s="486"/>
      <c r="FC99" s="486"/>
      <c r="FD99" s="486"/>
      <c r="FE99" s="486"/>
      <c r="FF99" s="486"/>
      <c r="FG99" s="486"/>
      <c r="FH99" s="486"/>
    </row>
    <row r="100" spans="1:164" ht="15">
      <c r="A100" s="407">
        <f t="shared" si="60"/>
        <v>141</v>
      </c>
      <c r="B100" s="404" t="s">
        <v>636</v>
      </c>
      <c r="C100" s="1097"/>
      <c r="D100" s="404" t="s">
        <v>1245</v>
      </c>
      <c r="E100" s="404"/>
      <c r="F100" s="1064"/>
      <c r="G100" s="1294"/>
      <c r="H100" s="1303"/>
      <c r="I100" s="1303"/>
      <c r="J100" s="1304"/>
      <c r="K100"/>
      <c r="L100" s="340"/>
      <c r="N100" s="84"/>
      <c r="O100" s="84"/>
      <c r="P100" s="804"/>
      <c r="Q100" s="804"/>
      <c r="R100" s="809"/>
      <c r="S100" s="809"/>
      <c r="T100" s="809"/>
      <c r="U100" s="809"/>
      <c r="V100" s="809"/>
      <c r="W100" s="806"/>
      <c r="X100" s="300"/>
      <c r="Y100" s="300"/>
      <c r="Z100" s="804"/>
      <c r="AA100" s="804"/>
      <c r="AB100" s="804"/>
      <c r="AC100" s="809"/>
      <c r="AD100" s="809"/>
      <c r="AE100" s="809"/>
      <c r="AF100" s="809"/>
      <c r="AG100" s="809"/>
      <c r="AH100" s="809"/>
      <c r="AI100" s="806"/>
      <c r="AJ100" s="806"/>
      <c r="AK100" s="806"/>
      <c r="AL100" s="804"/>
      <c r="AM100" s="804"/>
      <c r="AN100" s="804"/>
      <c r="AO100" s="809"/>
      <c r="AP100" s="809"/>
      <c r="AQ100" s="809"/>
      <c r="AR100" s="809"/>
      <c r="AS100" s="809"/>
      <c r="AT100" s="809"/>
      <c r="AU100" s="809"/>
      <c r="AV100" s="806"/>
      <c r="AW100" s="806"/>
      <c r="AX100" s="806"/>
      <c r="AY100" s="804"/>
      <c r="AZ100" s="804"/>
      <c r="BA100" s="804"/>
      <c r="BB100" s="809"/>
      <c r="BC100" s="809"/>
      <c r="BD100" s="809"/>
      <c r="BE100" s="809"/>
      <c r="BF100" s="948"/>
      <c r="BG100" s="948"/>
      <c r="BH100" s="948"/>
      <c r="BI100" s="806"/>
      <c r="BJ100" s="806"/>
      <c r="BK100" s="806"/>
      <c r="BL100" s="804"/>
      <c r="BM100" s="804"/>
      <c r="BN100" s="804"/>
      <c r="BO100" s="809"/>
      <c r="BP100" s="809"/>
      <c r="BQ100" s="809"/>
      <c r="BR100" s="809"/>
      <c r="BS100" s="948"/>
      <c r="BT100" s="948"/>
      <c r="BU100" s="948"/>
      <c r="BV100" s="806"/>
      <c r="BW100" s="486"/>
      <c r="BX100" s="486"/>
      <c r="BY100" s="486"/>
      <c r="BZ100" s="486"/>
      <c r="CA100" s="486"/>
      <c r="CB100" s="486"/>
      <c r="CC100" s="486"/>
      <c r="CD100" s="486"/>
      <c r="CE100" s="486"/>
      <c r="CF100" s="486"/>
      <c r="CG100" s="486"/>
      <c r="CH100" s="486"/>
      <c r="CI100" s="486"/>
      <c r="CJ100" s="486"/>
      <c r="CK100" s="486"/>
      <c r="CL100" s="486"/>
      <c r="CM100" s="486"/>
      <c r="CN100" s="486"/>
      <c r="CO100" s="486"/>
      <c r="CP100" s="486"/>
      <c r="CQ100" s="486"/>
      <c r="CR100" s="486"/>
      <c r="CS100" s="486"/>
      <c r="CT100" s="486"/>
      <c r="CU100" s="486"/>
      <c r="CV100" s="486"/>
      <c r="CW100" s="486"/>
      <c r="CX100" s="486"/>
      <c r="CY100" s="486"/>
      <c r="CZ100" s="486"/>
      <c r="DA100" s="486"/>
      <c r="DB100" s="486"/>
      <c r="DC100" s="486"/>
      <c r="DD100" s="486"/>
      <c r="DE100" s="486"/>
      <c r="DF100" s="486"/>
      <c r="DG100" s="486"/>
      <c r="DH100" s="486"/>
      <c r="DI100" s="486"/>
      <c r="DJ100" s="486"/>
      <c r="DK100" s="486"/>
      <c r="DL100" s="486"/>
      <c r="DM100" s="486"/>
      <c r="DN100" s="486"/>
      <c r="DO100" s="486"/>
      <c r="DP100" s="486"/>
      <c r="DQ100" s="486"/>
      <c r="DR100" s="486"/>
      <c r="DS100" s="486"/>
      <c r="DT100" s="486"/>
      <c r="DU100" s="486"/>
      <c r="DV100" s="486"/>
      <c r="DW100" s="486"/>
      <c r="DX100" s="486"/>
      <c r="DY100" s="486"/>
      <c r="DZ100" s="486"/>
      <c r="EA100" s="486"/>
      <c r="EB100" s="486"/>
      <c r="EC100" s="486"/>
      <c r="ED100" s="486"/>
      <c r="EE100" s="486"/>
      <c r="EF100" s="486"/>
      <c r="EG100" s="486"/>
      <c r="EH100" s="486"/>
      <c r="EI100" s="486"/>
      <c r="EJ100" s="486"/>
      <c r="EK100" s="486"/>
      <c r="EL100" s="486"/>
      <c r="EM100" s="486"/>
      <c r="EN100" s="486"/>
      <c r="EO100" s="486"/>
      <c r="EP100" s="486"/>
      <c r="EQ100" s="486"/>
      <c r="ER100" s="486"/>
      <c r="ES100" s="486"/>
      <c r="ET100" s="486"/>
      <c r="EU100" s="486"/>
      <c r="EV100" s="486"/>
      <c r="EW100" s="486"/>
      <c r="EX100" s="486"/>
      <c r="EY100" s="486"/>
      <c r="EZ100" s="486"/>
      <c r="FA100" s="486"/>
      <c r="FB100" s="486"/>
      <c r="FC100" s="486"/>
      <c r="FD100" s="486"/>
      <c r="FE100" s="486"/>
      <c r="FF100" s="486"/>
      <c r="FG100" s="486"/>
      <c r="FH100" s="486"/>
    </row>
    <row r="101" spans="1:164" ht="15">
      <c r="A101" s="407">
        <f t="shared" si="60"/>
        <v>142</v>
      </c>
      <c r="B101" s="404" t="s">
        <v>636</v>
      </c>
      <c r="C101" s="1097"/>
      <c r="D101" s="404" t="s">
        <v>1246</v>
      </c>
      <c r="E101" s="404"/>
      <c r="F101" s="1064"/>
      <c r="G101" s="1294"/>
      <c r="H101" s="1303"/>
      <c r="I101" s="1303"/>
      <c r="J101" s="1304"/>
      <c r="K101"/>
      <c r="L101" s="340"/>
      <c r="N101" s="84"/>
      <c r="O101" s="84"/>
      <c r="P101" s="804"/>
      <c r="Q101" s="804"/>
      <c r="R101" s="809"/>
      <c r="S101" s="809"/>
      <c r="T101" s="809"/>
      <c r="U101" s="809"/>
      <c r="V101" s="809"/>
      <c r="W101" s="806"/>
      <c r="X101" s="300"/>
      <c r="Y101" s="300"/>
      <c r="Z101" s="804"/>
      <c r="AA101" s="804"/>
      <c r="AB101" s="804"/>
      <c r="AC101" s="809"/>
      <c r="AD101" s="809"/>
      <c r="AE101" s="809"/>
      <c r="AF101" s="809"/>
      <c r="AG101" s="809"/>
      <c r="AH101" s="809"/>
      <c r="AI101" s="806"/>
      <c r="AJ101" s="806"/>
      <c r="AK101" s="806"/>
      <c r="AL101" s="804"/>
      <c r="AM101" s="804"/>
      <c r="AN101" s="804"/>
      <c r="AO101" s="809"/>
      <c r="AP101" s="809"/>
      <c r="AQ101" s="809"/>
      <c r="AR101" s="809"/>
      <c r="AS101" s="809"/>
      <c r="AT101" s="809"/>
      <c r="AU101" s="809"/>
      <c r="AV101" s="806"/>
      <c r="AW101" s="806"/>
      <c r="AX101" s="806"/>
      <c r="AY101" s="804"/>
      <c r="AZ101" s="804"/>
      <c r="BA101" s="804"/>
      <c r="BB101" s="809"/>
      <c r="BC101" s="809"/>
      <c r="BD101" s="809"/>
      <c r="BE101" s="809"/>
      <c r="BF101" s="948"/>
      <c r="BG101" s="948"/>
      <c r="BH101" s="948"/>
      <c r="BI101" s="806"/>
      <c r="BJ101" s="806"/>
      <c r="BK101" s="806"/>
      <c r="BL101" s="804"/>
      <c r="BM101" s="804"/>
      <c r="BN101" s="804"/>
      <c r="BO101" s="809"/>
      <c r="BP101" s="809"/>
      <c r="BQ101" s="809"/>
      <c r="BR101" s="809"/>
      <c r="BS101" s="948"/>
      <c r="BT101" s="948"/>
      <c r="BU101" s="948"/>
      <c r="BV101" s="806"/>
      <c r="BW101" s="486"/>
      <c r="BX101" s="486"/>
      <c r="BY101" s="486"/>
      <c r="BZ101" s="486"/>
      <c r="CA101" s="486"/>
      <c r="CB101" s="486"/>
      <c r="CC101" s="486"/>
      <c r="CD101" s="486"/>
      <c r="CE101" s="486"/>
      <c r="CF101" s="486"/>
      <c r="CG101" s="486"/>
      <c r="CH101" s="486"/>
      <c r="CI101" s="486"/>
      <c r="CJ101" s="486"/>
      <c r="CK101" s="486"/>
      <c r="CL101" s="486"/>
      <c r="CM101" s="486"/>
      <c r="CN101" s="486"/>
      <c r="CO101" s="486"/>
      <c r="CP101" s="486"/>
      <c r="CQ101" s="486"/>
      <c r="CR101" s="486"/>
      <c r="CS101" s="486"/>
      <c r="CT101" s="486"/>
      <c r="CU101" s="486"/>
      <c r="CV101" s="486"/>
      <c r="CW101" s="486"/>
      <c r="CX101" s="486"/>
      <c r="CY101" s="486"/>
      <c r="CZ101" s="486"/>
      <c r="DA101" s="486"/>
      <c r="DB101" s="486"/>
      <c r="DC101" s="486"/>
      <c r="DD101" s="486"/>
      <c r="DE101" s="486"/>
      <c r="DF101" s="486"/>
      <c r="DG101" s="486"/>
      <c r="DH101" s="486"/>
      <c r="DI101" s="486"/>
      <c r="DJ101" s="486"/>
      <c r="DK101" s="486"/>
      <c r="DL101" s="486"/>
      <c r="DM101" s="486"/>
      <c r="DN101" s="486"/>
      <c r="DO101" s="486"/>
      <c r="DP101" s="486"/>
      <c r="DQ101" s="486"/>
      <c r="DR101" s="486"/>
      <c r="DS101" s="486"/>
      <c r="DT101" s="486"/>
      <c r="DU101" s="486"/>
      <c r="DV101" s="486"/>
      <c r="DW101" s="486"/>
      <c r="DX101" s="486"/>
      <c r="DY101" s="486"/>
      <c r="DZ101" s="486"/>
      <c r="EA101" s="486"/>
      <c r="EB101" s="486"/>
      <c r="EC101" s="486"/>
      <c r="ED101" s="486"/>
      <c r="EE101" s="486"/>
      <c r="EF101" s="486"/>
      <c r="EG101" s="486"/>
      <c r="EH101" s="486"/>
      <c r="EI101" s="486"/>
      <c r="EJ101" s="486"/>
      <c r="EK101" s="486"/>
      <c r="EL101" s="486"/>
      <c r="EM101" s="486"/>
      <c r="EN101" s="486"/>
      <c r="EO101" s="486"/>
      <c r="EP101" s="486"/>
      <c r="EQ101" s="486"/>
      <c r="ER101" s="486"/>
      <c r="ES101" s="486"/>
      <c r="ET101" s="486"/>
      <c r="EU101" s="486"/>
      <c r="EV101" s="486"/>
      <c r="EW101" s="486"/>
      <c r="EX101" s="486"/>
      <c r="EY101" s="486"/>
      <c r="EZ101" s="486"/>
      <c r="FA101" s="486"/>
      <c r="FB101" s="486"/>
      <c r="FC101" s="486"/>
      <c r="FD101" s="486"/>
      <c r="FE101" s="486"/>
      <c r="FF101" s="486"/>
      <c r="FG101" s="486"/>
      <c r="FH101" s="486"/>
    </row>
    <row r="102" spans="1:164" ht="15.75">
      <c r="A102" s="407">
        <f t="shared" si="60"/>
        <v>143</v>
      </c>
      <c r="B102" s="404" t="s">
        <v>636</v>
      </c>
      <c r="C102" s="1097"/>
      <c r="D102" s="214" t="s">
        <v>1247</v>
      </c>
      <c r="E102" s="405"/>
      <c r="F102" s="1050">
        <f>SUM(F66:F101)</f>
        <v>0</v>
      </c>
      <c r="G102" s="1098"/>
      <c r="H102" s="1099"/>
      <c r="I102" s="1100"/>
      <c r="J102" s="1100"/>
      <c r="K102" s="874"/>
      <c r="L102" s="340"/>
      <c r="N102" s="84"/>
      <c r="O102" s="84"/>
      <c r="P102" s="804"/>
      <c r="Q102" s="804"/>
      <c r="R102" s="810"/>
      <c r="S102" s="810"/>
      <c r="T102" s="810"/>
      <c r="U102" s="809"/>
      <c r="V102" s="809"/>
      <c r="W102" s="806"/>
      <c r="X102" s="300"/>
      <c r="Y102" s="300"/>
      <c r="Z102" s="804"/>
      <c r="AA102" s="804"/>
      <c r="AB102" s="804"/>
      <c r="AC102" s="810"/>
      <c r="AD102" s="810"/>
      <c r="AE102" s="810"/>
      <c r="AF102" s="809"/>
      <c r="AG102" s="809"/>
      <c r="AH102" s="809"/>
      <c r="AI102" s="806"/>
      <c r="AJ102" s="806"/>
      <c r="AK102" s="806"/>
      <c r="AL102" s="804"/>
      <c r="AM102" s="804"/>
      <c r="AN102" s="804"/>
      <c r="AO102" s="810"/>
      <c r="AP102" s="810"/>
      <c r="AQ102" s="810"/>
      <c r="AR102" s="809"/>
      <c r="AS102" s="809"/>
      <c r="AT102" s="809"/>
      <c r="AU102" s="809"/>
      <c r="AV102" s="806"/>
      <c r="AW102" s="806"/>
      <c r="AX102" s="806"/>
      <c r="AY102" s="804"/>
      <c r="AZ102" s="804"/>
      <c r="BA102" s="804"/>
      <c r="BB102" s="810"/>
      <c r="BC102" s="810"/>
      <c r="BD102" s="810"/>
      <c r="BE102" s="809"/>
      <c r="BF102" s="948"/>
      <c r="BG102" s="948"/>
      <c r="BH102" s="948"/>
      <c r="BI102" s="806"/>
      <c r="BJ102" s="806"/>
      <c r="BK102" s="806"/>
      <c r="BL102" s="804"/>
      <c r="BM102" s="804"/>
      <c r="BN102" s="804"/>
      <c r="BO102" s="810"/>
      <c r="BP102" s="810"/>
      <c r="BQ102" s="810"/>
      <c r="BR102" s="809"/>
      <c r="BS102" s="948"/>
      <c r="BT102" s="948"/>
      <c r="BU102" s="948"/>
      <c r="BV102" s="806"/>
      <c r="BW102" s="486"/>
      <c r="BX102" s="486"/>
      <c r="BY102" s="486"/>
      <c r="BZ102" s="486"/>
      <c r="CA102" s="486"/>
      <c r="CB102" s="486"/>
      <c r="CC102" s="486"/>
      <c r="CD102" s="486"/>
      <c r="CE102" s="486"/>
      <c r="CF102" s="486"/>
      <c r="CG102" s="486"/>
      <c r="CH102" s="486"/>
      <c r="CI102" s="486"/>
      <c r="CJ102" s="486"/>
      <c r="CK102" s="486"/>
      <c r="CL102" s="486"/>
      <c r="CM102" s="486"/>
      <c r="CN102" s="486"/>
      <c r="CO102" s="486"/>
      <c r="CP102" s="486"/>
      <c r="CQ102" s="486"/>
      <c r="CR102" s="486"/>
      <c r="CS102" s="486"/>
      <c r="CT102" s="486"/>
      <c r="CU102" s="486"/>
      <c r="CV102" s="486"/>
      <c r="CW102" s="486"/>
      <c r="CX102" s="486"/>
      <c r="CY102" s="486"/>
      <c r="CZ102" s="486"/>
      <c r="DA102" s="486"/>
      <c r="DB102" s="486"/>
      <c r="DC102" s="486"/>
      <c r="DD102" s="486"/>
      <c r="DE102" s="486"/>
      <c r="DF102" s="486"/>
      <c r="DG102" s="486"/>
      <c r="DH102" s="486"/>
      <c r="DI102" s="486"/>
      <c r="DJ102" s="486"/>
      <c r="DK102" s="486"/>
      <c r="DL102" s="486"/>
      <c r="DM102" s="486"/>
      <c r="DN102" s="486"/>
      <c r="DO102" s="486"/>
      <c r="DP102" s="486"/>
      <c r="DQ102" s="486"/>
      <c r="DR102" s="486"/>
      <c r="DS102" s="486"/>
      <c r="DT102" s="486"/>
      <c r="DU102" s="486"/>
      <c r="DV102" s="486"/>
      <c r="DW102" s="486"/>
      <c r="DX102" s="486"/>
      <c r="DY102" s="486"/>
      <c r="DZ102" s="486"/>
      <c r="EA102" s="486"/>
      <c r="EB102" s="486"/>
      <c r="EC102" s="486"/>
      <c r="ED102" s="486"/>
      <c r="EE102" s="486"/>
      <c r="EF102" s="486"/>
      <c r="EG102" s="486"/>
      <c r="EH102" s="486"/>
      <c r="EI102" s="486"/>
      <c r="EJ102" s="486"/>
      <c r="EK102" s="486"/>
      <c r="EL102" s="486"/>
      <c r="EM102" s="486"/>
      <c r="EN102" s="486"/>
      <c r="EO102" s="486"/>
      <c r="EP102" s="486"/>
      <c r="EQ102" s="486"/>
      <c r="ER102" s="486"/>
      <c r="ES102" s="486"/>
      <c r="ET102" s="486"/>
      <c r="EU102" s="486"/>
      <c r="EV102" s="486"/>
      <c r="EW102" s="486"/>
      <c r="EX102" s="486"/>
      <c r="EY102" s="486"/>
      <c r="EZ102" s="486"/>
      <c r="FA102" s="486"/>
      <c r="FB102" s="486"/>
      <c r="FC102" s="486"/>
      <c r="FD102" s="486"/>
      <c r="FE102" s="486"/>
      <c r="FF102" s="486"/>
      <c r="FG102" s="486"/>
      <c r="FH102" s="486"/>
    </row>
    <row r="103" spans="1:164" ht="15">
      <c r="A103" s="407">
        <f t="shared" si="60"/>
        <v>144</v>
      </c>
      <c r="B103" s="404" t="s">
        <v>636</v>
      </c>
      <c r="C103" s="1097">
        <v>2</v>
      </c>
      <c r="D103" s="404" t="s">
        <v>1248</v>
      </c>
      <c r="E103" s="404"/>
      <c r="F103" s="1064"/>
      <c r="G103" s="1294"/>
      <c r="H103" s="1303"/>
      <c r="I103" s="1303"/>
      <c r="J103" s="1304"/>
      <c r="K103"/>
      <c r="L103" s="340"/>
      <c r="N103" s="84"/>
      <c r="O103" s="84"/>
      <c r="P103" s="804"/>
      <c r="Q103" s="804"/>
      <c r="R103" s="809"/>
      <c r="S103" s="809"/>
      <c r="T103" s="809"/>
      <c r="U103" s="809"/>
      <c r="V103" s="809"/>
      <c r="W103" s="806"/>
      <c r="X103" s="300"/>
      <c r="Y103" s="300"/>
      <c r="Z103" s="804"/>
      <c r="AA103" s="804"/>
      <c r="AB103" s="804"/>
      <c r="AC103" s="809"/>
      <c r="AD103" s="809"/>
      <c r="AE103" s="809"/>
      <c r="AF103" s="809"/>
      <c r="AG103" s="809"/>
      <c r="AH103" s="809"/>
      <c r="AI103" s="806"/>
      <c r="AJ103" s="806"/>
      <c r="AK103" s="806"/>
      <c r="AL103" s="804"/>
      <c r="AM103" s="804"/>
      <c r="AN103" s="804"/>
      <c r="AO103" s="809"/>
      <c r="AP103" s="809"/>
      <c r="AQ103" s="809"/>
      <c r="AR103" s="809"/>
      <c r="AS103" s="809"/>
      <c r="AT103" s="809"/>
      <c r="AU103" s="809"/>
      <c r="AV103" s="806"/>
      <c r="AW103" s="806"/>
      <c r="AX103" s="806"/>
      <c r="AY103" s="804"/>
      <c r="AZ103" s="804"/>
      <c r="BA103" s="804"/>
      <c r="BB103" s="809"/>
      <c r="BC103" s="809"/>
      <c r="BD103" s="809"/>
      <c r="BE103" s="809"/>
      <c r="BF103" s="948"/>
      <c r="BG103" s="948"/>
      <c r="BH103" s="948"/>
      <c r="BI103" s="806"/>
      <c r="BJ103" s="806"/>
      <c r="BK103" s="806"/>
      <c r="BL103" s="804"/>
      <c r="BM103" s="804"/>
      <c r="BN103" s="804"/>
      <c r="BO103" s="809"/>
      <c r="BP103" s="809"/>
      <c r="BQ103" s="809"/>
      <c r="BR103" s="809"/>
      <c r="BS103" s="948"/>
      <c r="BT103" s="948"/>
      <c r="BU103" s="948"/>
      <c r="BV103" s="806"/>
      <c r="BW103" s="486"/>
      <c r="BX103" s="486"/>
      <c r="BY103" s="486"/>
      <c r="BZ103" s="486"/>
      <c r="CA103" s="486"/>
      <c r="CB103" s="486"/>
      <c r="CC103" s="486"/>
      <c r="CD103" s="486"/>
      <c r="CE103" s="486"/>
      <c r="CF103" s="486"/>
      <c r="CG103" s="486"/>
      <c r="CH103" s="486"/>
      <c r="CI103" s="486"/>
      <c r="CJ103" s="486"/>
      <c r="CK103" s="486"/>
      <c r="CL103" s="486"/>
      <c r="CM103" s="486"/>
      <c r="CN103" s="486"/>
      <c r="CO103" s="486"/>
      <c r="CP103" s="486"/>
      <c r="CQ103" s="486"/>
      <c r="CR103" s="486"/>
      <c r="CS103" s="486"/>
      <c r="CT103" s="486"/>
      <c r="CU103" s="486"/>
      <c r="CV103" s="486"/>
      <c r="CW103" s="486"/>
      <c r="CX103" s="486"/>
      <c r="CY103" s="486"/>
      <c r="CZ103" s="486"/>
      <c r="DA103" s="486"/>
      <c r="DB103" s="486"/>
      <c r="DC103" s="486"/>
      <c r="DD103" s="486"/>
      <c r="DE103" s="486"/>
      <c r="DF103" s="486"/>
      <c r="DG103" s="486"/>
      <c r="DH103" s="486"/>
      <c r="DI103" s="486"/>
      <c r="DJ103" s="486"/>
      <c r="DK103" s="486"/>
      <c r="DL103" s="486"/>
      <c r="DM103" s="486"/>
      <c r="DN103" s="486"/>
      <c r="DO103" s="486"/>
      <c r="DP103" s="486"/>
      <c r="DQ103" s="486"/>
      <c r="DR103" s="486"/>
      <c r="DS103" s="486"/>
      <c r="DT103" s="486"/>
      <c r="DU103" s="486"/>
      <c r="DV103" s="486"/>
      <c r="DW103" s="486"/>
      <c r="DX103" s="486"/>
      <c r="DY103" s="486"/>
      <c r="DZ103" s="486"/>
      <c r="EA103" s="486"/>
      <c r="EB103" s="486"/>
      <c r="EC103" s="486"/>
      <c r="ED103" s="486"/>
      <c r="EE103" s="486"/>
      <c r="EF103" s="486"/>
      <c r="EG103" s="486"/>
      <c r="EH103" s="486"/>
      <c r="EI103" s="486"/>
      <c r="EJ103" s="486"/>
      <c r="EK103" s="486"/>
      <c r="EL103" s="486"/>
      <c r="EM103" s="486"/>
      <c r="EN103" s="486"/>
      <c r="EO103" s="486"/>
      <c r="EP103" s="486"/>
      <c r="EQ103" s="486"/>
      <c r="ER103" s="486"/>
      <c r="ES103" s="486"/>
      <c r="ET103" s="486"/>
      <c r="EU103" s="486"/>
      <c r="EV103" s="486"/>
      <c r="EW103" s="486"/>
      <c r="EX103" s="486"/>
      <c r="EY103" s="486"/>
      <c r="EZ103" s="486"/>
      <c r="FA103" s="486"/>
      <c r="FB103" s="486"/>
      <c r="FC103" s="486"/>
      <c r="FD103" s="486"/>
      <c r="FE103" s="486"/>
      <c r="FF103" s="486"/>
      <c r="FG103" s="486"/>
      <c r="FH103" s="486"/>
    </row>
    <row r="104" spans="1:164" ht="15">
      <c r="A104" s="407">
        <f t="shared" si="60"/>
        <v>145</v>
      </c>
      <c r="B104" s="404" t="s">
        <v>636</v>
      </c>
      <c r="C104" s="1097">
        <v>2</v>
      </c>
      <c r="D104" s="404" t="s">
        <v>1249</v>
      </c>
      <c r="E104" s="404"/>
      <c r="F104" s="1064"/>
      <c r="G104" s="1294"/>
      <c r="H104" s="1303"/>
      <c r="I104" s="1303"/>
      <c r="J104" s="1304"/>
      <c r="K104"/>
      <c r="L104" s="340"/>
      <c r="N104" s="84"/>
      <c r="O104" s="84"/>
      <c r="P104" s="804"/>
      <c r="Q104" s="804"/>
      <c r="R104" s="809"/>
      <c r="S104" s="809"/>
      <c r="T104" s="809"/>
      <c r="U104" s="809"/>
      <c r="V104" s="809"/>
      <c r="W104" s="806"/>
      <c r="X104" s="300"/>
      <c r="Y104" s="300"/>
      <c r="Z104" s="804"/>
      <c r="AA104" s="804"/>
      <c r="AB104" s="804"/>
      <c r="AC104" s="809"/>
      <c r="AD104" s="809"/>
      <c r="AE104" s="809"/>
      <c r="AF104" s="809"/>
      <c r="AG104" s="809"/>
      <c r="AH104" s="809"/>
      <c r="AI104" s="806"/>
      <c r="AJ104" s="806"/>
      <c r="AK104" s="806"/>
      <c r="AL104" s="804"/>
      <c r="AM104" s="804"/>
      <c r="AN104" s="804"/>
      <c r="AO104" s="809"/>
      <c r="AP104" s="809"/>
      <c r="AQ104" s="809"/>
      <c r="AR104" s="809"/>
      <c r="AS104" s="809"/>
      <c r="AT104" s="809"/>
      <c r="AU104" s="809"/>
      <c r="AV104" s="806"/>
      <c r="AW104" s="806"/>
      <c r="AX104" s="806"/>
      <c r="AY104" s="804"/>
      <c r="AZ104" s="804"/>
      <c r="BA104" s="804"/>
      <c r="BB104" s="809"/>
      <c r="BC104" s="809"/>
      <c r="BD104" s="809"/>
      <c r="BE104" s="809"/>
      <c r="BF104" s="948"/>
      <c r="BG104" s="948"/>
      <c r="BH104" s="948"/>
      <c r="BI104" s="806"/>
      <c r="BJ104" s="806"/>
      <c r="BK104" s="806"/>
      <c r="BL104" s="804"/>
      <c r="BM104" s="804"/>
      <c r="BN104" s="804"/>
      <c r="BO104" s="809"/>
      <c r="BP104" s="809"/>
      <c r="BQ104" s="809"/>
      <c r="BR104" s="809"/>
      <c r="BS104" s="948"/>
      <c r="BT104" s="948"/>
      <c r="BU104" s="948"/>
      <c r="BV104" s="806"/>
      <c r="BW104" s="486"/>
      <c r="BX104" s="486"/>
      <c r="BY104" s="486"/>
      <c r="BZ104" s="486"/>
      <c r="CA104" s="486"/>
      <c r="CB104" s="486"/>
      <c r="CC104" s="486"/>
      <c r="CD104" s="486"/>
      <c r="CE104" s="486"/>
      <c r="CF104" s="486"/>
      <c r="CG104" s="486"/>
      <c r="CH104" s="486"/>
      <c r="CI104" s="486"/>
      <c r="CJ104" s="486"/>
      <c r="CK104" s="486"/>
      <c r="CL104" s="486"/>
      <c r="CM104" s="486"/>
      <c r="CN104" s="486"/>
      <c r="CO104" s="486"/>
      <c r="CP104" s="486"/>
      <c r="CQ104" s="486"/>
      <c r="CR104" s="486"/>
      <c r="CS104" s="486"/>
      <c r="CT104" s="486"/>
      <c r="CU104" s="486"/>
      <c r="CV104" s="486"/>
      <c r="CW104" s="486"/>
      <c r="CX104" s="486"/>
      <c r="CY104" s="486"/>
      <c r="CZ104" s="486"/>
      <c r="DA104" s="486"/>
      <c r="DB104" s="486"/>
      <c r="DC104" s="486"/>
      <c r="DD104" s="486"/>
      <c r="DE104" s="486"/>
      <c r="DF104" s="486"/>
      <c r="DG104" s="486"/>
      <c r="DH104" s="486"/>
      <c r="DI104" s="486"/>
      <c r="DJ104" s="486"/>
      <c r="DK104" s="486"/>
      <c r="DL104" s="486"/>
      <c r="DM104" s="486"/>
      <c r="DN104" s="486"/>
      <c r="DO104" s="486"/>
      <c r="DP104" s="486"/>
      <c r="DQ104" s="486"/>
      <c r="DR104" s="486"/>
      <c r="DS104" s="486"/>
      <c r="DT104" s="486"/>
      <c r="DU104" s="486"/>
      <c r="DV104" s="486"/>
      <c r="DW104" s="486"/>
      <c r="DX104" s="486"/>
      <c r="DY104" s="486"/>
      <c r="DZ104" s="486"/>
      <c r="EA104" s="486"/>
      <c r="EB104" s="486"/>
      <c r="EC104" s="486"/>
      <c r="ED104" s="486"/>
      <c r="EE104" s="486"/>
      <c r="EF104" s="486"/>
      <c r="EG104" s="486"/>
      <c r="EH104" s="486"/>
      <c r="EI104" s="486"/>
      <c r="EJ104" s="486"/>
      <c r="EK104" s="486"/>
      <c r="EL104" s="486"/>
      <c r="EM104" s="486"/>
      <c r="EN104" s="486"/>
      <c r="EO104" s="486"/>
      <c r="EP104" s="486"/>
      <c r="EQ104" s="486"/>
      <c r="ER104" s="486"/>
      <c r="ES104" s="486"/>
      <c r="ET104" s="486"/>
      <c r="EU104" s="486"/>
      <c r="EV104" s="486"/>
      <c r="EW104" s="486"/>
      <c r="EX104" s="486"/>
      <c r="EY104" s="486"/>
      <c r="EZ104" s="486"/>
      <c r="FA104" s="486"/>
      <c r="FB104" s="486"/>
      <c r="FC104" s="486"/>
      <c r="FD104" s="486"/>
      <c r="FE104" s="486"/>
      <c r="FF104" s="486"/>
      <c r="FG104" s="486"/>
      <c r="FH104" s="486"/>
    </row>
    <row r="105" spans="1:164" ht="15">
      <c r="A105" s="407">
        <f t="shared" si="60"/>
        <v>146</v>
      </c>
      <c r="B105" s="404" t="s">
        <v>636</v>
      </c>
      <c r="C105" s="1097">
        <v>2</v>
      </c>
      <c r="D105" s="404" t="s">
        <v>1250</v>
      </c>
      <c r="E105" s="404"/>
      <c r="F105" s="1064"/>
      <c r="G105" s="1294"/>
      <c r="H105" s="1303"/>
      <c r="I105" s="1303"/>
      <c r="J105" s="1304"/>
      <c r="K105"/>
      <c r="L105" s="340"/>
      <c r="N105" s="84"/>
      <c r="O105" s="84"/>
      <c r="P105" s="804"/>
      <c r="Q105" s="804"/>
      <c r="R105" s="809"/>
      <c r="S105" s="809"/>
      <c r="T105" s="809"/>
      <c r="U105" s="809"/>
      <c r="V105" s="809"/>
      <c r="W105" s="806"/>
      <c r="X105" s="300"/>
      <c r="Y105" s="300"/>
      <c r="Z105" s="804"/>
      <c r="AA105" s="804"/>
      <c r="AB105" s="804"/>
      <c r="AC105" s="809"/>
      <c r="AD105" s="809"/>
      <c r="AE105" s="809"/>
      <c r="AF105" s="809"/>
      <c r="AG105" s="809"/>
      <c r="AH105" s="809"/>
      <c r="AI105" s="806"/>
      <c r="AJ105" s="806"/>
      <c r="AK105" s="806"/>
      <c r="AL105" s="804"/>
      <c r="AM105" s="804"/>
      <c r="AN105" s="804"/>
      <c r="AO105" s="809"/>
      <c r="AP105" s="809"/>
      <c r="AQ105" s="809"/>
      <c r="AR105" s="809"/>
      <c r="AS105" s="809"/>
      <c r="AT105" s="809"/>
      <c r="AU105" s="809"/>
      <c r="AV105" s="806"/>
      <c r="AW105" s="806"/>
      <c r="AX105" s="806"/>
      <c r="AY105" s="804"/>
      <c r="AZ105" s="804"/>
      <c r="BA105" s="804"/>
      <c r="BB105" s="809"/>
      <c r="BC105" s="809"/>
      <c r="BD105" s="809"/>
      <c r="BE105" s="809"/>
      <c r="BF105" s="948"/>
      <c r="BG105" s="948"/>
      <c r="BH105" s="948"/>
      <c r="BI105" s="806"/>
      <c r="BJ105" s="806"/>
      <c r="BK105" s="806"/>
      <c r="BL105" s="804"/>
      <c r="BM105" s="804"/>
      <c r="BN105" s="804"/>
      <c r="BO105" s="809"/>
      <c r="BP105" s="809"/>
      <c r="BQ105" s="809"/>
      <c r="BR105" s="809"/>
      <c r="BS105" s="948"/>
      <c r="BT105" s="948"/>
      <c r="BU105" s="948"/>
      <c r="BV105" s="806"/>
      <c r="BW105" s="486"/>
      <c r="BX105" s="486"/>
      <c r="BY105" s="486"/>
      <c r="BZ105" s="486"/>
      <c r="CA105" s="486"/>
      <c r="CB105" s="486"/>
      <c r="CC105" s="486"/>
      <c r="CD105" s="486"/>
      <c r="CE105" s="486"/>
      <c r="CF105" s="486"/>
      <c r="CG105" s="486"/>
      <c r="CH105" s="486"/>
      <c r="CI105" s="486"/>
      <c r="CJ105" s="486"/>
      <c r="CK105" s="486"/>
      <c r="CL105" s="486"/>
      <c r="CM105" s="486"/>
      <c r="CN105" s="486"/>
      <c r="CO105" s="486"/>
      <c r="CP105" s="486"/>
      <c r="CQ105" s="486"/>
      <c r="CR105" s="486"/>
      <c r="CS105" s="486"/>
      <c r="CT105" s="486"/>
      <c r="CU105" s="486"/>
      <c r="CV105" s="486"/>
      <c r="CW105" s="486"/>
      <c r="CX105" s="486"/>
      <c r="CY105" s="486"/>
      <c r="CZ105" s="486"/>
      <c r="DA105" s="486"/>
      <c r="DB105" s="486"/>
      <c r="DC105" s="486"/>
      <c r="DD105" s="486"/>
      <c r="DE105" s="486"/>
      <c r="DF105" s="486"/>
      <c r="DG105" s="486"/>
      <c r="DH105" s="486"/>
      <c r="DI105" s="486"/>
      <c r="DJ105" s="486"/>
      <c r="DK105" s="486"/>
      <c r="DL105" s="486"/>
      <c r="DM105" s="486"/>
      <c r="DN105" s="486"/>
      <c r="DO105" s="486"/>
      <c r="DP105" s="486"/>
      <c r="DQ105" s="486"/>
      <c r="DR105" s="486"/>
      <c r="DS105" s="486"/>
      <c r="DT105" s="486"/>
      <c r="DU105" s="486"/>
      <c r="DV105" s="486"/>
      <c r="DW105" s="486"/>
      <c r="DX105" s="486"/>
      <c r="DY105" s="486"/>
      <c r="DZ105" s="486"/>
      <c r="EA105" s="486"/>
      <c r="EB105" s="486"/>
      <c r="EC105" s="486"/>
      <c r="ED105" s="486"/>
      <c r="EE105" s="486"/>
      <c r="EF105" s="486"/>
      <c r="EG105" s="486"/>
      <c r="EH105" s="486"/>
      <c r="EI105" s="486"/>
      <c r="EJ105" s="486"/>
      <c r="EK105" s="486"/>
      <c r="EL105" s="486"/>
      <c r="EM105" s="486"/>
      <c r="EN105" s="486"/>
      <c r="EO105" s="486"/>
      <c r="EP105" s="486"/>
      <c r="EQ105" s="486"/>
      <c r="ER105" s="486"/>
      <c r="ES105" s="486"/>
      <c r="ET105" s="486"/>
      <c r="EU105" s="486"/>
      <c r="EV105" s="486"/>
      <c r="EW105" s="486"/>
      <c r="EX105" s="486"/>
      <c r="EY105" s="486"/>
      <c r="EZ105" s="486"/>
      <c r="FA105" s="486"/>
      <c r="FB105" s="486"/>
      <c r="FC105" s="486"/>
      <c r="FD105" s="486"/>
      <c r="FE105" s="486"/>
      <c r="FF105" s="486"/>
      <c r="FG105" s="486"/>
      <c r="FH105" s="486"/>
    </row>
    <row r="106" spans="1:164" ht="15">
      <c r="A106" s="407">
        <f t="shared" si="60"/>
        <v>147</v>
      </c>
      <c r="B106" s="404" t="s">
        <v>636</v>
      </c>
      <c r="C106" s="1097">
        <v>2</v>
      </c>
      <c r="D106" s="404" t="s">
        <v>1251</v>
      </c>
      <c r="E106" s="404"/>
      <c r="F106" s="1064"/>
      <c r="G106" s="1294"/>
      <c r="H106" s="1303"/>
      <c r="I106" s="1303"/>
      <c r="J106" s="1304"/>
      <c r="K106"/>
      <c r="L106" s="340"/>
      <c r="N106" s="84"/>
      <c r="O106" s="84"/>
      <c r="P106" s="804"/>
      <c r="Q106" s="804"/>
      <c r="R106" s="809"/>
      <c r="S106" s="809"/>
      <c r="T106" s="809"/>
      <c r="U106" s="809"/>
      <c r="V106" s="809"/>
      <c r="W106" s="806"/>
      <c r="X106" s="300"/>
      <c r="Y106" s="300"/>
      <c r="Z106" s="804"/>
      <c r="AA106" s="804"/>
      <c r="AB106" s="804"/>
      <c r="AC106" s="809"/>
      <c r="AD106" s="809"/>
      <c r="AE106" s="809"/>
      <c r="AF106" s="809"/>
      <c r="AG106" s="809"/>
      <c r="AH106" s="809"/>
      <c r="AI106" s="806"/>
      <c r="AJ106" s="806"/>
      <c r="AK106" s="806"/>
      <c r="AL106" s="804"/>
      <c r="AM106" s="804"/>
      <c r="AN106" s="804"/>
      <c r="AO106" s="809"/>
      <c r="AP106" s="809"/>
      <c r="AQ106" s="809"/>
      <c r="AR106" s="809"/>
      <c r="AS106" s="809"/>
      <c r="AT106" s="809"/>
      <c r="AU106" s="809"/>
      <c r="AV106" s="806"/>
      <c r="AW106" s="806"/>
      <c r="AX106" s="806"/>
      <c r="AY106" s="804"/>
      <c r="AZ106" s="804"/>
      <c r="BA106" s="804"/>
      <c r="BB106" s="809"/>
      <c r="BC106" s="809"/>
      <c r="BD106" s="809"/>
      <c r="BE106" s="809"/>
      <c r="BF106" s="948"/>
      <c r="BG106" s="948"/>
      <c r="BH106" s="948"/>
      <c r="BI106" s="806"/>
      <c r="BJ106" s="806"/>
      <c r="BK106" s="806"/>
      <c r="BL106" s="804"/>
      <c r="BM106" s="804"/>
      <c r="BN106" s="804"/>
      <c r="BO106" s="809"/>
      <c r="BP106" s="809"/>
      <c r="BQ106" s="809"/>
      <c r="BR106" s="809"/>
      <c r="BS106" s="948"/>
      <c r="BT106" s="948"/>
      <c r="BU106" s="948"/>
      <c r="BV106" s="806"/>
      <c r="BW106" s="486"/>
      <c r="BX106" s="486"/>
      <c r="BY106" s="486"/>
      <c r="BZ106" s="486"/>
      <c r="CA106" s="486"/>
      <c r="CB106" s="486"/>
      <c r="CC106" s="486"/>
      <c r="CD106" s="486"/>
      <c r="CE106" s="486"/>
      <c r="CF106" s="486"/>
      <c r="CG106" s="486"/>
      <c r="CH106" s="486"/>
      <c r="CI106" s="486"/>
      <c r="CJ106" s="486"/>
      <c r="CK106" s="486"/>
      <c r="CL106" s="486"/>
      <c r="CM106" s="486"/>
      <c r="CN106" s="486"/>
      <c r="CO106" s="486"/>
      <c r="CP106" s="486"/>
      <c r="CQ106" s="486"/>
      <c r="CR106" s="486"/>
      <c r="CS106" s="486"/>
      <c r="CT106" s="486"/>
      <c r="CU106" s="486"/>
      <c r="CV106" s="486"/>
      <c r="CW106" s="486"/>
      <c r="CX106" s="486"/>
      <c r="CY106" s="486"/>
      <c r="CZ106" s="486"/>
      <c r="DA106" s="486"/>
      <c r="DB106" s="486"/>
      <c r="DC106" s="486"/>
      <c r="DD106" s="486"/>
      <c r="DE106" s="486"/>
      <c r="DF106" s="486"/>
      <c r="DG106" s="486"/>
      <c r="DH106" s="486"/>
      <c r="DI106" s="486"/>
      <c r="DJ106" s="486"/>
      <c r="DK106" s="486"/>
      <c r="DL106" s="486"/>
      <c r="DM106" s="486"/>
      <c r="DN106" s="486"/>
      <c r="DO106" s="486"/>
      <c r="DP106" s="486"/>
      <c r="DQ106" s="486"/>
      <c r="DR106" s="486"/>
      <c r="DS106" s="486"/>
      <c r="DT106" s="486"/>
      <c r="DU106" s="486"/>
      <c r="DV106" s="486"/>
      <c r="DW106" s="486"/>
      <c r="DX106" s="486"/>
      <c r="DY106" s="486"/>
      <c r="DZ106" s="486"/>
      <c r="EA106" s="486"/>
      <c r="EB106" s="486"/>
      <c r="EC106" s="486"/>
      <c r="ED106" s="486"/>
      <c r="EE106" s="486"/>
      <c r="EF106" s="486"/>
      <c r="EG106" s="486"/>
      <c r="EH106" s="486"/>
      <c r="EI106" s="486"/>
      <c r="EJ106" s="486"/>
      <c r="EK106" s="486"/>
      <c r="EL106" s="486"/>
      <c r="EM106" s="486"/>
      <c r="EN106" s="486"/>
      <c r="EO106" s="486"/>
      <c r="EP106" s="486"/>
      <c r="EQ106" s="486"/>
      <c r="ER106" s="486"/>
      <c r="ES106" s="486"/>
      <c r="ET106" s="486"/>
      <c r="EU106" s="486"/>
      <c r="EV106" s="486"/>
      <c r="EW106" s="486"/>
      <c r="EX106" s="486"/>
      <c r="EY106" s="486"/>
      <c r="EZ106" s="486"/>
      <c r="FA106" s="486"/>
      <c r="FB106" s="486"/>
      <c r="FC106" s="486"/>
      <c r="FD106" s="486"/>
      <c r="FE106" s="486"/>
      <c r="FF106" s="486"/>
      <c r="FG106" s="486"/>
      <c r="FH106" s="486"/>
    </row>
    <row r="107" spans="1:164" ht="15">
      <c r="A107" s="407">
        <f t="shared" si="60"/>
        <v>148</v>
      </c>
      <c r="B107" s="404" t="s">
        <v>636</v>
      </c>
      <c r="C107" s="1097">
        <v>2</v>
      </c>
      <c r="D107" s="404" t="s">
        <v>1252</v>
      </c>
      <c r="E107" s="404"/>
      <c r="F107" s="1064"/>
      <c r="G107" s="1294"/>
      <c r="H107" s="1303"/>
      <c r="I107" s="1303"/>
      <c r="J107" s="1304"/>
      <c r="K107"/>
      <c r="L107" s="340"/>
      <c r="N107" s="84"/>
      <c r="O107" s="84"/>
      <c r="P107" s="804"/>
      <c r="Q107" s="804"/>
      <c r="R107" s="809"/>
      <c r="S107" s="809"/>
      <c r="T107" s="809"/>
      <c r="U107" s="809"/>
      <c r="V107" s="809"/>
      <c r="W107" s="806"/>
      <c r="X107" s="300"/>
      <c r="Y107" s="300"/>
      <c r="Z107" s="804"/>
      <c r="AA107" s="804"/>
      <c r="AB107" s="804"/>
      <c r="AC107" s="809"/>
      <c r="AD107" s="809"/>
      <c r="AE107" s="809"/>
      <c r="AF107" s="809"/>
      <c r="AG107" s="809"/>
      <c r="AH107" s="809"/>
      <c r="AI107" s="806"/>
      <c r="AJ107" s="806"/>
      <c r="AK107" s="806"/>
      <c r="AL107" s="804"/>
      <c r="AM107" s="804"/>
      <c r="AN107" s="804"/>
      <c r="AO107" s="809"/>
      <c r="AP107" s="809"/>
      <c r="AQ107" s="809"/>
      <c r="AR107" s="809"/>
      <c r="AS107" s="809"/>
      <c r="AT107" s="809"/>
      <c r="AU107" s="809"/>
      <c r="AV107" s="806"/>
      <c r="AW107" s="806"/>
      <c r="AX107" s="806"/>
      <c r="AY107" s="804"/>
      <c r="AZ107" s="804"/>
      <c r="BA107" s="804"/>
      <c r="BB107" s="809"/>
      <c r="BC107" s="809"/>
      <c r="BD107" s="809"/>
      <c r="BE107" s="809"/>
      <c r="BF107" s="948"/>
      <c r="BG107" s="948"/>
      <c r="BH107" s="948"/>
      <c r="BI107" s="806"/>
      <c r="BJ107" s="806"/>
      <c r="BK107" s="806"/>
      <c r="BL107" s="804"/>
      <c r="BM107" s="804"/>
      <c r="BN107" s="804"/>
      <c r="BO107" s="809"/>
      <c r="BP107" s="809"/>
      <c r="BQ107" s="809"/>
      <c r="BR107" s="809"/>
      <c r="BS107" s="948"/>
      <c r="BT107" s="948"/>
      <c r="BU107" s="948"/>
      <c r="BV107" s="806"/>
      <c r="BW107" s="486"/>
      <c r="BX107" s="486"/>
      <c r="BY107" s="486"/>
      <c r="BZ107" s="486"/>
      <c r="CA107" s="486"/>
      <c r="CB107" s="486"/>
      <c r="CC107" s="486"/>
      <c r="CD107" s="486"/>
      <c r="CE107" s="486"/>
      <c r="CF107" s="486"/>
      <c r="CG107" s="486"/>
      <c r="CH107" s="486"/>
      <c r="CI107" s="486"/>
      <c r="CJ107" s="486"/>
      <c r="CK107" s="486"/>
      <c r="CL107" s="486"/>
      <c r="CM107" s="486"/>
      <c r="CN107" s="486"/>
      <c r="CO107" s="486"/>
      <c r="CP107" s="486"/>
      <c r="CQ107" s="486"/>
      <c r="CR107" s="486"/>
      <c r="CS107" s="486"/>
      <c r="CT107" s="486"/>
      <c r="CU107" s="486"/>
      <c r="CV107" s="486"/>
      <c r="CW107" s="486"/>
      <c r="CX107" s="486"/>
      <c r="CY107" s="486"/>
      <c r="CZ107" s="486"/>
      <c r="DA107" s="486"/>
      <c r="DB107" s="486"/>
      <c r="DC107" s="486"/>
      <c r="DD107" s="486"/>
      <c r="DE107" s="486"/>
      <c r="DF107" s="486"/>
      <c r="DG107" s="486"/>
      <c r="DH107" s="486"/>
      <c r="DI107" s="486"/>
      <c r="DJ107" s="486"/>
      <c r="DK107" s="486"/>
      <c r="DL107" s="486"/>
      <c r="DM107" s="486"/>
      <c r="DN107" s="486"/>
      <c r="DO107" s="486"/>
      <c r="DP107" s="486"/>
      <c r="DQ107" s="486"/>
      <c r="DR107" s="486"/>
      <c r="DS107" s="486"/>
      <c r="DT107" s="486"/>
      <c r="DU107" s="486"/>
      <c r="DV107" s="486"/>
      <c r="DW107" s="486"/>
      <c r="DX107" s="486"/>
      <c r="DY107" s="486"/>
      <c r="DZ107" s="486"/>
      <c r="EA107" s="486"/>
      <c r="EB107" s="486"/>
      <c r="EC107" s="486"/>
      <c r="ED107" s="486"/>
      <c r="EE107" s="486"/>
      <c r="EF107" s="486"/>
      <c r="EG107" s="486"/>
      <c r="EH107" s="486"/>
      <c r="EI107" s="486"/>
      <c r="EJ107" s="486"/>
      <c r="EK107" s="486"/>
      <c r="EL107" s="486"/>
      <c r="EM107" s="486"/>
      <c r="EN107" s="486"/>
      <c r="EO107" s="486"/>
      <c r="EP107" s="486"/>
      <c r="EQ107" s="486"/>
      <c r="ER107" s="486"/>
      <c r="ES107" s="486"/>
      <c r="ET107" s="486"/>
      <c r="EU107" s="486"/>
      <c r="EV107" s="486"/>
      <c r="EW107" s="486"/>
      <c r="EX107" s="486"/>
      <c r="EY107" s="486"/>
      <c r="EZ107" s="486"/>
      <c r="FA107" s="486"/>
      <c r="FB107" s="486"/>
      <c r="FC107" s="486"/>
      <c r="FD107" s="486"/>
      <c r="FE107" s="486"/>
      <c r="FF107" s="486"/>
      <c r="FG107" s="486"/>
      <c r="FH107" s="486"/>
    </row>
    <row r="108" spans="1:164" ht="15">
      <c r="A108" s="407">
        <f t="shared" si="60"/>
        <v>149</v>
      </c>
      <c r="B108" s="404"/>
      <c r="C108" s="1097">
        <v>2</v>
      </c>
      <c r="D108" s="404" t="s">
        <v>1138</v>
      </c>
      <c r="E108" s="404"/>
      <c r="F108" s="1064"/>
      <c r="G108" s="1294"/>
      <c r="H108" s="1303"/>
      <c r="I108" s="1303"/>
      <c r="J108" s="1304"/>
      <c r="K108"/>
      <c r="L108" s="340"/>
      <c r="N108" s="84"/>
      <c r="O108" s="84"/>
      <c r="P108" s="804"/>
      <c r="Q108" s="804"/>
      <c r="R108" s="809"/>
      <c r="S108" s="809"/>
      <c r="T108" s="809"/>
      <c r="U108" s="809"/>
      <c r="V108" s="809"/>
      <c r="W108" s="806"/>
      <c r="X108" s="300"/>
      <c r="Y108" s="300"/>
      <c r="Z108" s="804"/>
      <c r="AA108" s="804"/>
      <c r="AB108" s="804"/>
      <c r="AC108" s="809"/>
      <c r="AD108" s="809"/>
      <c r="AE108" s="809"/>
      <c r="AF108" s="809"/>
      <c r="AG108" s="809"/>
      <c r="AH108" s="809"/>
      <c r="AI108" s="806"/>
      <c r="AJ108" s="806"/>
      <c r="AK108" s="806"/>
      <c r="AL108" s="804"/>
      <c r="AM108" s="804"/>
      <c r="AN108" s="804"/>
      <c r="AO108" s="809"/>
      <c r="AP108" s="809"/>
      <c r="AQ108" s="809"/>
      <c r="AR108" s="809"/>
      <c r="AS108" s="809"/>
      <c r="AT108" s="809"/>
      <c r="AU108" s="809"/>
      <c r="AV108" s="806"/>
      <c r="AW108" s="806"/>
      <c r="AX108" s="806"/>
      <c r="AY108" s="804"/>
      <c r="AZ108" s="804"/>
      <c r="BA108" s="804"/>
      <c r="BB108" s="809"/>
      <c r="BC108" s="809"/>
      <c r="BD108" s="809"/>
      <c r="BE108" s="809"/>
      <c r="BF108" s="948"/>
      <c r="BG108" s="948"/>
      <c r="BH108" s="948"/>
      <c r="BI108" s="806"/>
      <c r="BJ108" s="806"/>
      <c r="BK108" s="806"/>
      <c r="BL108" s="804"/>
      <c r="BM108" s="804"/>
      <c r="BN108" s="804"/>
      <c r="BO108" s="809"/>
      <c r="BP108" s="809"/>
      <c r="BQ108" s="809"/>
      <c r="BR108" s="809"/>
      <c r="BS108" s="948"/>
      <c r="BT108" s="948"/>
      <c r="BU108" s="948"/>
      <c r="BV108" s="806"/>
      <c r="BW108" s="486"/>
      <c r="BX108" s="486"/>
      <c r="BY108" s="486"/>
      <c r="BZ108" s="486"/>
      <c r="CA108" s="486"/>
      <c r="CB108" s="486"/>
      <c r="CC108" s="486"/>
      <c r="CD108" s="486"/>
      <c r="CE108" s="486"/>
      <c r="CF108" s="486"/>
      <c r="CG108" s="486"/>
      <c r="CH108" s="486"/>
      <c r="CI108" s="486"/>
      <c r="CJ108" s="486"/>
      <c r="CK108" s="486"/>
      <c r="CL108" s="486"/>
      <c r="CM108" s="486"/>
      <c r="CN108" s="486"/>
      <c r="CO108" s="486"/>
      <c r="CP108" s="486"/>
      <c r="CQ108" s="486"/>
      <c r="CR108" s="486"/>
      <c r="CS108" s="486"/>
      <c r="CT108" s="486"/>
      <c r="CU108" s="486"/>
      <c r="CV108" s="486"/>
      <c r="CW108" s="486"/>
      <c r="CX108" s="486"/>
      <c r="CY108" s="486"/>
      <c r="CZ108" s="486"/>
      <c r="DA108" s="486"/>
      <c r="DB108" s="486"/>
      <c r="DC108" s="486"/>
      <c r="DD108" s="486"/>
      <c r="DE108" s="486"/>
      <c r="DF108" s="486"/>
      <c r="DG108" s="486"/>
      <c r="DH108" s="486"/>
      <c r="DI108" s="486"/>
      <c r="DJ108" s="486"/>
      <c r="DK108" s="486"/>
      <c r="DL108" s="486"/>
      <c r="DM108" s="486"/>
      <c r="DN108" s="486"/>
      <c r="DO108" s="486"/>
      <c r="DP108" s="486"/>
      <c r="DQ108" s="486"/>
      <c r="DR108" s="486"/>
      <c r="DS108" s="486"/>
      <c r="DT108" s="486"/>
      <c r="DU108" s="486"/>
      <c r="DV108" s="486"/>
      <c r="DW108" s="486"/>
      <c r="DX108" s="486"/>
      <c r="DY108" s="486"/>
      <c r="DZ108" s="486"/>
      <c r="EA108" s="486"/>
      <c r="EB108" s="486"/>
      <c r="EC108" s="486"/>
      <c r="ED108" s="486"/>
      <c r="EE108" s="486"/>
      <c r="EF108" s="486"/>
      <c r="EG108" s="486"/>
      <c r="EH108" s="486"/>
      <c r="EI108" s="486"/>
      <c r="EJ108" s="486"/>
      <c r="EK108" s="486"/>
      <c r="EL108" s="486"/>
      <c r="EM108" s="486"/>
      <c r="EN108" s="486"/>
      <c r="EO108" s="486"/>
      <c r="EP108" s="486"/>
      <c r="EQ108" s="486"/>
      <c r="ER108" s="486"/>
      <c r="ES108" s="486"/>
      <c r="ET108" s="486"/>
      <c r="EU108" s="486"/>
      <c r="EV108" s="486"/>
      <c r="EW108" s="486"/>
      <c r="EX108" s="486"/>
      <c r="EY108" s="486"/>
      <c r="EZ108" s="486"/>
      <c r="FA108" s="486"/>
      <c r="FB108" s="486"/>
      <c r="FC108" s="486"/>
      <c r="FD108" s="486"/>
      <c r="FE108" s="486"/>
      <c r="FF108" s="486"/>
      <c r="FG108" s="486"/>
      <c r="FH108" s="486"/>
    </row>
    <row r="109" spans="1:164" ht="15">
      <c r="A109" s="407">
        <f t="shared" si="60"/>
        <v>150</v>
      </c>
      <c r="B109" s="404"/>
      <c r="C109" s="1097">
        <v>2</v>
      </c>
      <c r="D109" s="404" t="s">
        <v>1140</v>
      </c>
      <c r="E109" s="404"/>
      <c r="F109" s="1064"/>
      <c r="G109" s="1294"/>
      <c r="H109" s="1303"/>
      <c r="I109" s="1303"/>
      <c r="J109" s="1304"/>
      <c r="K109"/>
      <c r="L109" s="340"/>
      <c r="N109" s="84"/>
      <c r="O109" s="84"/>
      <c r="P109" s="804"/>
      <c r="Q109" s="804"/>
      <c r="R109" s="809"/>
      <c r="S109" s="809"/>
      <c r="T109" s="809"/>
      <c r="U109" s="809"/>
      <c r="V109" s="809"/>
      <c r="W109" s="806"/>
      <c r="X109" s="300"/>
      <c r="Y109" s="300"/>
      <c r="Z109" s="804"/>
      <c r="AA109" s="804"/>
      <c r="AB109" s="804"/>
      <c r="AC109" s="809"/>
      <c r="AD109" s="809"/>
      <c r="AE109" s="809"/>
      <c r="AF109" s="809"/>
      <c r="AG109" s="809"/>
      <c r="AH109" s="809"/>
      <c r="AI109" s="806"/>
      <c r="AJ109" s="806"/>
      <c r="AK109" s="806"/>
      <c r="AL109" s="804"/>
      <c r="AM109" s="804"/>
      <c r="AN109" s="804"/>
      <c r="AO109" s="809"/>
      <c r="AP109" s="809"/>
      <c r="AQ109" s="809"/>
      <c r="AR109" s="809"/>
      <c r="AS109" s="809"/>
      <c r="AT109" s="809"/>
      <c r="AU109" s="809"/>
      <c r="AV109" s="806"/>
      <c r="AW109" s="806"/>
      <c r="AX109" s="806"/>
      <c r="AY109" s="804"/>
      <c r="AZ109" s="804"/>
      <c r="BA109" s="804"/>
      <c r="BB109" s="809"/>
      <c r="BC109" s="809"/>
      <c r="BD109" s="809"/>
      <c r="BE109" s="809"/>
      <c r="BF109" s="948"/>
      <c r="BG109" s="948"/>
      <c r="BH109" s="948"/>
      <c r="BI109" s="806"/>
      <c r="BJ109" s="806"/>
      <c r="BK109" s="806"/>
      <c r="BL109" s="804"/>
      <c r="BM109" s="804"/>
      <c r="BN109" s="804"/>
      <c r="BO109" s="809"/>
      <c r="BP109" s="809"/>
      <c r="BQ109" s="809"/>
      <c r="BR109" s="809"/>
      <c r="BS109" s="948"/>
      <c r="BT109" s="948"/>
      <c r="BU109" s="948"/>
      <c r="BV109" s="806"/>
      <c r="BW109" s="486"/>
      <c r="BX109" s="486"/>
      <c r="BY109" s="486"/>
      <c r="BZ109" s="486"/>
      <c r="CA109" s="486"/>
      <c r="CB109" s="486"/>
      <c r="CC109" s="486"/>
      <c r="CD109" s="486"/>
      <c r="CE109" s="486"/>
      <c r="CF109" s="486"/>
      <c r="CG109" s="486"/>
      <c r="CH109" s="486"/>
      <c r="CI109" s="486"/>
      <c r="CJ109" s="486"/>
      <c r="CK109" s="486"/>
      <c r="CL109" s="486"/>
      <c r="CM109" s="486"/>
      <c r="CN109" s="486"/>
      <c r="CO109" s="486"/>
      <c r="CP109" s="486"/>
      <c r="CQ109" s="486"/>
      <c r="CR109" s="486"/>
      <c r="CS109" s="486"/>
      <c r="CT109" s="486"/>
      <c r="CU109" s="486"/>
      <c r="CV109" s="486"/>
      <c r="CW109" s="486"/>
      <c r="CX109" s="486"/>
      <c r="CY109" s="486"/>
      <c r="CZ109" s="486"/>
      <c r="DA109" s="486"/>
      <c r="DB109" s="486"/>
      <c r="DC109" s="486"/>
      <c r="DD109" s="486"/>
      <c r="DE109" s="486"/>
      <c r="DF109" s="486"/>
      <c r="DG109" s="486"/>
      <c r="DH109" s="486"/>
      <c r="DI109" s="486"/>
      <c r="DJ109" s="486"/>
      <c r="DK109" s="486"/>
      <c r="DL109" s="486"/>
      <c r="DM109" s="486"/>
      <c r="DN109" s="486"/>
      <c r="DO109" s="486"/>
      <c r="DP109" s="486"/>
      <c r="DQ109" s="486"/>
      <c r="DR109" s="486"/>
      <c r="DS109" s="486"/>
      <c r="DT109" s="486"/>
      <c r="DU109" s="486"/>
      <c r="DV109" s="486"/>
      <c r="DW109" s="486"/>
      <c r="DX109" s="486"/>
      <c r="DY109" s="486"/>
      <c r="DZ109" s="486"/>
      <c r="EA109" s="486"/>
      <c r="EB109" s="486"/>
      <c r="EC109" s="486"/>
      <c r="ED109" s="486"/>
      <c r="EE109" s="486"/>
      <c r="EF109" s="486"/>
      <c r="EG109" s="486"/>
      <c r="EH109" s="486"/>
      <c r="EI109" s="486"/>
      <c r="EJ109" s="486"/>
      <c r="EK109" s="486"/>
      <c r="EL109" s="486"/>
      <c r="EM109" s="486"/>
      <c r="EN109" s="486"/>
      <c r="EO109" s="486"/>
      <c r="EP109" s="486"/>
      <c r="EQ109" s="486"/>
      <c r="ER109" s="486"/>
      <c r="ES109" s="486"/>
      <c r="ET109" s="486"/>
      <c r="EU109" s="486"/>
      <c r="EV109" s="486"/>
      <c r="EW109" s="486"/>
      <c r="EX109" s="486"/>
      <c r="EY109" s="486"/>
      <c r="EZ109" s="486"/>
      <c r="FA109" s="486"/>
      <c r="FB109" s="486"/>
      <c r="FC109" s="486"/>
      <c r="FD109" s="486"/>
      <c r="FE109" s="486"/>
      <c r="FF109" s="486"/>
      <c r="FG109" s="486"/>
      <c r="FH109" s="486"/>
    </row>
    <row r="110" spans="1:164" ht="15">
      <c r="A110" s="407">
        <f t="shared" si="60"/>
        <v>151</v>
      </c>
      <c r="B110" s="404"/>
      <c r="C110" s="1097">
        <v>2</v>
      </c>
      <c r="D110" s="404" t="s">
        <v>1141</v>
      </c>
      <c r="E110" s="404"/>
      <c r="F110" s="1064"/>
      <c r="G110" s="1294"/>
      <c r="H110" s="1303"/>
      <c r="I110" s="1303"/>
      <c r="J110" s="1304"/>
      <c r="K110"/>
      <c r="L110" s="340"/>
      <c r="N110" s="84"/>
      <c r="O110" s="84"/>
      <c r="P110" s="804"/>
      <c r="Q110" s="804"/>
      <c r="R110" s="809"/>
      <c r="S110" s="809"/>
      <c r="T110" s="809"/>
      <c r="U110" s="809"/>
      <c r="V110" s="809"/>
      <c r="W110" s="806"/>
      <c r="X110" s="300"/>
      <c r="Y110" s="300"/>
      <c r="Z110" s="804"/>
      <c r="AA110" s="804"/>
      <c r="AB110" s="804"/>
      <c r="AC110" s="809"/>
      <c r="AD110" s="809"/>
      <c r="AE110" s="809"/>
      <c r="AF110" s="809"/>
      <c r="AG110" s="809"/>
      <c r="AH110" s="809"/>
      <c r="AI110" s="806"/>
      <c r="AJ110" s="806"/>
      <c r="AK110" s="806"/>
      <c r="AL110" s="804"/>
      <c r="AM110" s="804"/>
      <c r="AN110" s="804"/>
      <c r="AO110" s="809"/>
      <c r="AP110" s="809"/>
      <c r="AQ110" s="809"/>
      <c r="AR110" s="809"/>
      <c r="AS110" s="809"/>
      <c r="AT110" s="809"/>
      <c r="AU110" s="809"/>
      <c r="AV110" s="806"/>
      <c r="AW110" s="806"/>
      <c r="AX110" s="806"/>
      <c r="AY110" s="804"/>
      <c r="AZ110" s="804"/>
      <c r="BA110" s="804"/>
      <c r="BB110" s="809"/>
      <c r="BC110" s="809"/>
      <c r="BD110" s="809"/>
      <c r="BE110" s="809"/>
      <c r="BF110" s="948"/>
      <c r="BG110" s="948"/>
      <c r="BH110" s="948"/>
      <c r="BI110" s="806"/>
      <c r="BJ110" s="806"/>
      <c r="BK110" s="806"/>
      <c r="BL110" s="804"/>
      <c r="BM110" s="804"/>
      <c r="BN110" s="804"/>
      <c r="BO110" s="809"/>
      <c r="BP110" s="809"/>
      <c r="BQ110" s="809"/>
      <c r="BR110" s="809"/>
      <c r="BS110" s="948"/>
      <c r="BT110" s="948"/>
      <c r="BU110" s="948"/>
      <c r="BV110" s="806"/>
      <c r="BW110" s="486"/>
      <c r="BX110" s="486"/>
      <c r="BY110" s="486"/>
      <c r="BZ110" s="486"/>
      <c r="CA110" s="486"/>
      <c r="CB110" s="486"/>
      <c r="CC110" s="486"/>
      <c r="CD110" s="486"/>
      <c r="CE110" s="486"/>
      <c r="CF110" s="486"/>
      <c r="CG110" s="486"/>
      <c r="CH110" s="486"/>
      <c r="CI110" s="486"/>
      <c r="CJ110" s="486"/>
      <c r="CK110" s="486"/>
      <c r="CL110" s="486"/>
      <c r="CM110" s="486"/>
      <c r="CN110" s="486"/>
      <c r="CO110" s="486"/>
      <c r="CP110" s="486"/>
      <c r="CQ110" s="486"/>
      <c r="CR110" s="486"/>
      <c r="CS110" s="486"/>
      <c r="CT110" s="486"/>
      <c r="CU110" s="486"/>
      <c r="CV110" s="486"/>
      <c r="CW110" s="486"/>
      <c r="CX110" s="486"/>
      <c r="CY110" s="486"/>
      <c r="CZ110" s="486"/>
      <c r="DA110" s="486"/>
      <c r="DB110" s="486"/>
      <c r="DC110" s="486"/>
      <c r="DD110" s="486"/>
      <c r="DE110" s="486"/>
      <c r="DF110" s="486"/>
      <c r="DG110" s="486"/>
      <c r="DH110" s="486"/>
      <c r="DI110" s="486"/>
      <c r="DJ110" s="486"/>
      <c r="DK110" s="486"/>
      <c r="DL110" s="486"/>
      <c r="DM110" s="486"/>
      <c r="DN110" s="486"/>
      <c r="DO110" s="486"/>
      <c r="DP110" s="486"/>
      <c r="DQ110" s="486"/>
      <c r="DR110" s="486"/>
      <c r="DS110" s="486"/>
      <c r="DT110" s="486"/>
      <c r="DU110" s="486"/>
      <c r="DV110" s="486"/>
      <c r="DW110" s="486"/>
      <c r="DX110" s="486"/>
      <c r="DY110" s="486"/>
      <c r="DZ110" s="486"/>
      <c r="EA110" s="486"/>
      <c r="EB110" s="486"/>
      <c r="EC110" s="486"/>
      <c r="ED110" s="486"/>
      <c r="EE110" s="486"/>
      <c r="EF110" s="486"/>
      <c r="EG110" s="486"/>
      <c r="EH110" s="486"/>
      <c r="EI110" s="486"/>
      <c r="EJ110" s="486"/>
      <c r="EK110" s="486"/>
      <c r="EL110" s="486"/>
      <c r="EM110" s="486"/>
      <c r="EN110" s="486"/>
      <c r="EO110" s="486"/>
      <c r="EP110" s="486"/>
      <c r="EQ110" s="486"/>
      <c r="ER110" s="486"/>
      <c r="ES110" s="486"/>
      <c r="ET110" s="486"/>
      <c r="EU110" s="486"/>
      <c r="EV110" s="486"/>
      <c r="EW110" s="486"/>
      <c r="EX110" s="486"/>
      <c r="EY110" s="486"/>
      <c r="EZ110" s="486"/>
      <c r="FA110" s="486"/>
      <c r="FB110" s="486"/>
      <c r="FC110" s="486"/>
      <c r="FD110" s="486"/>
      <c r="FE110" s="486"/>
      <c r="FF110" s="486"/>
      <c r="FG110" s="486"/>
      <c r="FH110" s="486"/>
    </row>
    <row r="111" spans="1:164" ht="15">
      <c r="A111" s="407">
        <f t="shared" si="60"/>
        <v>152</v>
      </c>
      <c r="B111" s="404" t="s">
        <v>636</v>
      </c>
      <c r="C111" s="1097">
        <v>2</v>
      </c>
      <c r="D111" s="404" t="s">
        <v>1253</v>
      </c>
      <c r="E111" s="404"/>
      <c r="F111" s="1064"/>
      <c r="G111" s="1294"/>
      <c r="H111" s="1303"/>
      <c r="I111" s="1303"/>
      <c r="J111" s="1304"/>
      <c r="K111"/>
      <c r="L111" s="340"/>
      <c r="N111" s="84"/>
      <c r="O111" s="84"/>
      <c r="P111" s="804"/>
      <c r="Q111" s="804"/>
      <c r="R111" s="809"/>
      <c r="S111" s="809"/>
      <c r="T111" s="809"/>
      <c r="U111" s="809"/>
      <c r="V111" s="809"/>
      <c r="W111" s="806"/>
      <c r="X111" s="300"/>
      <c r="Y111" s="300"/>
      <c r="Z111" s="804"/>
      <c r="AA111" s="804"/>
      <c r="AB111" s="804"/>
      <c r="AC111" s="809"/>
      <c r="AD111" s="809"/>
      <c r="AE111" s="809"/>
      <c r="AF111" s="809"/>
      <c r="AG111" s="809"/>
      <c r="AH111" s="809"/>
      <c r="AI111" s="806"/>
      <c r="AJ111" s="806"/>
      <c r="AK111" s="806"/>
      <c r="AL111" s="804"/>
      <c r="AM111" s="804"/>
      <c r="AN111" s="804"/>
      <c r="AO111" s="809"/>
      <c r="AP111" s="809"/>
      <c r="AQ111" s="809"/>
      <c r="AR111" s="809"/>
      <c r="AS111" s="809"/>
      <c r="AT111" s="809"/>
      <c r="AU111" s="809"/>
      <c r="AV111" s="806"/>
      <c r="AW111" s="806"/>
      <c r="AX111" s="806"/>
      <c r="AY111" s="804"/>
      <c r="AZ111" s="804"/>
      <c r="BA111" s="804"/>
      <c r="BB111" s="809"/>
      <c r="BC111" s="809"/>
      <c r="BD111" s="809"/>
      <c r="BE111" s="809"/>
      <c r="BF111" s="948"/>
      <c r="BG111" s="948"/>
      <c r="BH111" s="948"/>
      <c r="BI111" s="806"/>
      <c r="BJ111" s="806"/>
      <c r="BK111" s="806"/>
      <c r="BL111" s="804"/>
      <c r="BM111" s="804"/>
      <c r="BN111" s="804"/>
      <c r="BO111" s="809"/>
      <c r="BP111" s="809"/>
      <c r="BQ111" s="809"/>
      <c r="BR111" s="809"/>
      <c r="BS111" s="948"/>
      <c r="BT111" s="948"/>
      <c r="BU111" s="948"/>
      <c r="BV111" s="806"/>
      <c r="BW111" s="486"/>
      <c r="BX111" s="486"/>
      <c r="BY111" s="486"/>
      <c r="BZ111" s="486"/>
      <c r="CA111" s="486"/>
      <c r="CB111" s="486"/>
      <c r="CC111" s="486"/>
      <c r="CD111" s="486"/>
      <c r="CE111" s="486"/>
      <c r="CF111" s="486"/>
      <c r="CG111" s="486"/>
      <c r="CH111" s="486"/>
      <c r="CI111" s="486"/>
      <c r="CJ111" s="486"/>
      <c r="CK111" s="486"/>
      <c r="CL111" s="486"/>
      <c r="CM111" s="486"/>
      <c r="CN111" s="486"/>
      <c r="CO111" s="486"/>
      <c r="CP111" s="486"/>
      <c r="CQ111" s="486"/>
      <c r="CR111" s="486"/>
      <c r="CS111" s="486"/>
      <c r="CT111" s="486"/>
      <c r="CU111" s="486"/>
      <c r="CV111" s="486"/>
      <c r="CW111" s="486"/>
      <c r="CX111" s="486"/>
      <c r="CY111" s="486"/>
      <c r="CZ111" s="486"/>
      <c r="DA111" s="486"/>
      <c r="DB111" s="486"/>
      <c r="DC111" s="486"/>
      <c r="DD111" s="486"/>
      <c r="DE111" s="486"/>
      <c r="DF111" s="486"/>
      <c r="DG111" s="486"/>
      <c r="DH111" s="486"/>
      <c r="DI111" s="486"/>
      <c r="DJ111" s="486"/>
      <c r="DK111" s="486"/>
      <c r="DL111" s="486"/>
      <c r="DM111" s="486"/>
      <c r="DN111" s="486"/>
      <c r="DO111" s="486"/>
      <c r="DP111" s="486"/>
      <c r="DQ111" s="486"/>
      <c r="DR111" s="486"/>
      <c r="DS111" s="486"/>
      <c r="DT111" s="486"/>
      <c r="DU111" s="486"/>
      <c r="DV111" s="486"/>
      <c r="DW111" s="486"/>
      <c r="DX111" s="486"/>
      <c r="DY111" s="486"/>
      <c r="DZ111" s="486"/>
      <c r="EA111" s="486"/>
      <c r="EB111" s="486"/>
      <c r="EC111" s="486"/>
      <c r="ED111" s="486"/>
      <c r="EE111" s="486"/>
      <c r="EF111" s="486"/>
      <c r="EG111" s="486"/>
      <c r="EH111" s="486"/>
      <c r="EI111" s="486"/>
      <c r="EJ111" s="486"/>
      <c r="EK111" s="486"/>
      <c r="EL111" s="486"/>
      <c r="EM111" s="486"/>
      <c r="EN111" s="486"/>
      <c r="EO111" s="486"/>
      <c r="EP111" s="486"/>
      <c r="EQ111" s="486"/>
      <c r="ER111" s="486"/>
      <c r="ES111" s="486"/>
      <c r="ET111" s="486"/>
      <c r="EU111" s="486"/>
      <c r="EV111" s="486"/>
      <c r="EW111" s="486"/>
      <c r="EX111" s="486"/>
      <c r="EY111" s="486"/>
      <c r="EZ111" s="486"/>
      <c r="FA111" s="486"/>
      <c r="FB111" s="486"/>
      <c r="FC111" s="486"/>
      <c r="FD111" s="486"/>
      <c r="FE111" s="486"/>
      <c r="FF111" s="486"/>
      <c r="FG111" s="486"/>
      <c r="FH111" s="486"/>
    </row>
    <row r="112" spans="1:164" ht="15.75">
      <c r="A112" s="407">
        <f t="shared" si="60"/>
        <v>153</v>
      </c>
      <c r="B112" s="404" t="s">
        <v>636</v>
      </c>
      <c r="C112" s="1097"/>
      <c r="D112" s="214" t="s">
        <v>1254</v>
      </c>
      <c r="E112" s="405"/>
      <c r="F112" s="1050">
        <f>SUM(F103:F111)</f>
        <v>0</v>
      </c>
      <c r="G112" s="404"/>
      <c r="H112" s="404"/>
      <c r="I112" s="404"/>
      <c r="J112" s="404"/>
      <c r="K112"/>
      <c r="L112" s="340"/>
      <c r="N112" s="84"/>
      <c r="O112" s="84"/>
      <c r="P112" s="804"/>
      <c r="Q112" s="804"/>
      <c r="R112" s="810"/>
      <c r="S112" s="810"/>
      <c r="T112" s="809"/>
      <c r="U112" s="809"/>
      <c r="V112" s="809"/>
      <c r="W112" s="806"/>
      <c r="X112" s="300"/>
      <c r="Y112" s="300"/>
      <c r="Z112" s="804"/>
      <c r="AA112" s="804"/>
      <c r="AB112" s="804"/>
      <c r="AC112" s="810"/>
      <c r="AD112" s="810"/>
      <c r="AE112" s="809"/>
      <c r="AF112" s="809"/>
      <c r="AG112" s="809"/>
      <c r="AH112" s="809"/>
      <c r="AI112" s="806"/>
      <c r="AJ112" s="806"/>
      <c r="AK112" s="806"/>
      <c r="AL112" s="804"/>
      <c r="AM112" s="804"/>
      <c r="AN112" s="804"/>
      <c r="AO112" s="810"/>
      <c r="AP112" s="810"/>
      <c r="AQ112" s="809"/>
      <c r="AR112" s="809"/>
      <c r="AS112" s="809"/>
      <c r="AT112" s="809"/>
      <c r="AU112" s="809"/>
      <c r="AV112" s="806"/>
      <c r="AW112" s="806"/>
      <c r="AX112" s="806"/>
      <c r="AY112" s="804"/>
      <c r="AZ112" s="804"/>
      <c r="BA112" s="804"/>
      <c r="BB112" s="810"/>
      <c r="BC112" s="810"/>
      <c r="BD112" s="809"/>
      <c r="BE112" s="809"/>
      <c r="BF112" s="948"/>
      <c r="BG112" s="948"/>
      <c r="BH112" s="948"/>
      <c r="BI112" s="806"/>
      <c r="BJ112" s="806"/>
      <c r="BK112" s="806"/>
      <c r="BL112" s="804"/>
      <c r="BM112" s="804"/>
      <c r="BN112" s="804"/>
      <c r="BO112" s="810"/>
      <c r="BP112" s="810"/>
      <c r="BQ112" s="809"/>
      <c r="BR112" s="809"/>
      <c r="BS112" s="948"/>
      <c r="BT112" s="948"/>
      <c r="BU112" s="948"/>
      <c r="BV112" s="806"/>
      <c r="BW112" s="486"/>
      <c r="BX112" s="486"/>
      <c r="BY112" s="486"/>
      <c r="BZ112" s="486"/>
      <c r="CA112" s="486"/>
      <c r="CB112" s="486"/>
      <c r="CC112" s="486"/>
      <c r="CD112" s="486"/>
      <c r="CE112" s="486"/>
      <c r="CF112" s="486"/>
      <c r="CG112" s="486"/>
      <c r="CH112" s="486"/>
      <c r="CI112" s="486"/>
      <c r="CJ112" s="486"/>
      <c r="CK112" s="486"/>
      <c r="CL112" s="486"/>
      <c r="CM112" s="486"/>
      <c r="CN112" s="486"/>
      <c r="CO112" s="486"/>
      <c r="CP112" s="486"/>
      <c r="CQ112" s="486"/>
      <c r="CR112" s="486"/>
      <c r="CS112" s="486"/>
      <c r="CT112" s="486"/>
      <c r="CU112" s="486"/>
      <c r="CV112" s="486"/>
      <c r="CW112" s="486"/>
      <c r="CX112" s="486"/>
      <c r="CY112" s="486"/>
      <c r="CZ112" s="486"/>
      <c r="DA112" s="486"/>
      <c r="DB112" s="486"/>
      <c r="DC112" s="486"/>
      <c r="DD112" s="486"/>
      <c r="DE112" s="486"/>
      <c r="DF112" s="486"/>
      <c r="DG112" s="486"/>
      <c r="DH112" s="486"/>
      <c r="DI112" s="486"/>
      <c r="DJ112" s="486"/>
      <c r="DK112" s="486"/>
      <c r="DL112" s="486"/>
      <c r="DM112" s="486"/>
      <c r="DN112" s="486"/>
      <c r="DO112" s="486"/>
      <c r="DP112" s="486"/>
      <c r="DQ112" s="486"/>
      <c r="DR112" s="486"/>
      <c r="DS112" s="486"/>
      <c r="DT112" s="486"/>
      <c r="DU112" s="486"/>
      <c r="DV112" s="486"/>
      <c r="DW112" s="486"/>
      <c r="DX112" s="486"/>
      <c r="DY112" s="486"/>
      <c r="DZ112" s="486"/>
      <c r="EA112" s="486"/>
      <c r="EB112" s="486"/>
      <c r="EC112" s="486"/>
      <c r="ED112" s="486"/>
      <c r="EE112" s="486"/>
      <c r="EF112" s="486"/>
      <c r="EG112" s="486"/>
      <c r="EH112" s="486"/>
      <c r="EI112" s="486"/>
      <c r="EJ112" s="486"/>
      <c r="EK112" s="486"/>
      <c r="EL112" s="486"/>
      <c r="EM112" s="486"/>
      <c r="EN112" s="486"/>
      <c r="EO112" s="486"/>
      <c r="EP112" s="486"/>
      <c r="EQ112" s="486"/>
      <c r="ER112" s="486"/>
      <c r="ES112" s="486"/>
      <c r="ET112" s="486"/>
      <c r="EU112" s="486"/>
      <c r="EV112" s="486"/>
      <c r="EW112" s="486"/>
      <c r="EX112" s="486"/>
      <c r="EY112" s="486"/>
      <c r="EZ112" s="486"/>
      <c r="FA112" s="486"/>
      <c r="FB112" s="486"/>
      <c r="FC112" s="486"/>
      <c r="FD112" s="486"/>
      <c r="FE112" s="486"/>
      <c r="FF112" s="486"/>
      <c r="FG112" s="486"/>
      <c r="FH112" s="486"/>
    </row>
    <row r="113" spans="1:164" ht="15.75">
      <c r="A113" s="407">
        <f t="shared" si="60"/>
        <v>154</v>
      </c>
      <c r="B113" s="404" t="s">
        <v>636</v>
      </c>
      <c r="C113" s="1097"/>
      <c r="D113" s="214" t="s">
        <v>1255</v>
      </c>
      <c r="E113" s="405"/>
      <c r="F113" s="1050">
        <f>F102+F112</f>
        <v>0</v>
      </c>
      <c r="G113" s="404"/>
      <c r="H113" s="404"/>
      <c r="I113" s="404"/>
      <c r="J113" s="404"/>
      <c r="K113"/>
      <c r="L113" s="340"/>
      <c r="N113" s="84"/>
      <c r="O113" s="84"/>
      <c r="P113" s="804"/>
      <c r="Q113" s="804"/>
      <c r="R113" s="810"/>
      <c r="S113" s="810"/>
      <c r="T113" s="809"/>
      <c r="U113" s="809"/>
      <c r="V113" s="809"/>
      <c r="W113" s="806"/>
      <c r="X113" s="300"/>
      <c r="Y113" s="300"/>
      <c r="Z113" s="804"/>
      <c r="AA113" s="804"/>
      <c r="AB113" s="804"/>
      <c r="AC113" s="810"/>
      <c r="AD113" s="810"/>
      <c r="AE113" s="809"/>
      <c r="AF113" s="809"/>
      <c r="AG113" s="809"/>
      <c r="AH113" s="809"/>
      <c r="AI113" s="806"/>
      <c r="AJ113" s="806"/>
      <c r="AK113" s="806"/>
      <c r="AL113" s="804"/>
      <c r="AM113" s="804"/>
      <c r="AN113" s="804"/>
      <c r="AO113" s="810"/>
      <c r="AP113" s="810"/>
      <c r="AQ113" s="809"/>
      <c r="AR113" s="809"/>
      <c r="AS113" s="809"/>
      <c r="AT113" s="809"/>
      <c r="AU113" s="809"/>
      <c r="AV113" s="806"/>
      <c r="AW113" s="806"/>
      <c r="AX113" s="806"/>
      <c r="AY113" s="804"/>
      <c r="AZ113" s="804"/>
      <c r="BA113" s="804"/>
      <c r="BB113" s="810"/>
      <c r="BC113" s="810"/>
      <c r="BD113" s="809"/>
      <c r="BE113" s="809"/>
      <c r="BF113" s="948"/>
      <c r="BG113" s="948"/>
      <c r="BH113" s="948"/>
      <c r="BI113" s="806"/>
      <c r="BJ113" s="806"/>
      <c r="BK113" s="806"/>
      <c r="BL113" s="804"/>
      <c r="BM113" s="804"/>
      <c r="BN113" s="804"/>
      <c r="BO113" s="810"/>
      <c r="BP113" s="810"/>
      <c r="BQ113" s="809"/>
      <c r="BR113" s="809"/>
      <c r="BS113" s="948"/>
      <c r="BT113" s="948"/>
      <c r="BU113" s="948"/>
      <c r="BV113" s="806"/>
      <c r="BW113" s="486"/>
      <c r="BX113" s="486"/>
      <c r="BY113" s="486"/>
      <c r="BZ113" s="486"/>
      <c r="CA113" s="486"/>
      <c r="CB113" s="486"/>
      <c r="CC113" s="486"/>
      <c r="CD113" s="486"/>
      <c r="CE113" s="486"/>
      <c r="CF113" s="486"/>
      <c r="CG113" s="486"/>
      <c r="CH113" s="486"/>
      <c r="CI113" s="486"/>
      <c r="CJ113" s="486"/>
      <c r="CK113" s="486"/>
      <c r="CL113" s="486"/>
      <c r="CM113" s="486"/>
      <c r="CN113" s="486"/>
      <c r="CO113" s="486"/>
      <c r="CP113" s="486"/>
      <c r="CQ113" s="486"/>
      <c r="CR113" s="486"/>
      <c r="CS113" s="486"/>
      <c r="CT113" s="486"/>
      <c r="CU113" s="486"/>
      <c r="CV113" s="486"/>
      <c r="CW113" s="486"/>
      <c r="CX113" s="486"/>
      <c r="CY113" s="486"/>
      <c r="CZ113" s="486"/>
      <c r="DA113" s="486"/>
      <c r="DB113" s="486"/>
      <c r="DC113" s="486"/>
      <c r="DD113" s="486"/>
      <c r="DE113" s="486"/>
      <c r="DF113" s="486"/>
      <c r="DG113" s="486"/>
      <c r="DH113" s="486"/>
      <c r="DI113" s="486"/>
      <c r="DJ113" s="486"/>
      <c r="DK113" s="486"/>
      <c r="DL113" s="486"/>
      <c r="DM113" s="486"/>
      <c r="DN113" s="486"/>
      <c r="DO113" s="486"/>
      <c r="DP113" s="486"/>
      <c r="DQ113" s="486"/>
      <c r="DR113" s="486"/>
      <c r="DS113" s="486"/>
      <c r="DT113" s="486"/>
      <c r="DU113" s="486"/>
      <c r="DV113" s="486"/>
      <c r="DW113" s="486"/>
      <c r="DX113" s="486"/>
      <c r="DY113" s="486"/>
      <c r="DZ113" s="486"/>
      <c r="EA113" s="486"/>
      <c r="EB113" s="486"/>
      <c r="EC113" s="486"/>
      <c r="ED113" s="486"/>
      <c r="EE113" s="486"/>
      <c r="EF113" s="486"/>
      <c r="EG113" s="486"/>
      <c r="EH113" s="486"/>
      <c r="EI113" s="486"/>
      <c r="EJ113" s="486"/>
      <c r="EK113" s="486"/>
      <c r="EL113" s="486"/>
      <c r="EM113" s="486"/>
      <c r="EN113" s="486"/>
      <c r="EO113" s="486"/>
      <c r="EP113" s="486"/>
      <c r="EQ113" s="486"/>
      <c r="ER113" s="486"/>
      <c r="ES113" s="486"/>
      <c r="ET113" s="486"/>
      <c r="EU113" s="486"/>
      <c r="EV113" s="486"/>
      <c r="EW113" s="486"/>
      <c r="EX113" s="486"/>
      <c r="EY113" s="486"/>
      <c r="EZ113" s="486"/>
      <c r="FA113" s="486"/>
      <c r="FB113" s="486"/>
      <c r="FC113" s="486"/>
      <c r="FD113" s="486"/>
      <c r="FE113" s="486"/>
      <c r="FF113" s="486"/>
      <c r="FG113" s="486"/>
      <c r="FH113" s="486"/>
    </row>
    <row r="114" spans="1:164" ht="15">
      <c r="A114" s="407">
        <f t="shared" si="60"/>
        <v>155</v>
      </c>
      <c r="B114" s="404" t="s">
        <v>636</v>
      </c>
      <c r="C114" s="1097">
        <v>1</v>
      </c>
      <c r="D114" s="404" t="s">
        <v>1256</v>
      </c>
      <c r="E114" s="404"/>
      <c r="F114" s="1064">
        <f>F111*0.1</f>
        <v>0</v>
      </c>
      <c r="G114" s="1294"/>
      <c r="H114" s="1303"/>
      <c r="I114" s="1303"/>
      <c r="J114" s="1304"/>
      <c r="K114"/>
      <c r="L114" s="340"/>
      <c r="N114" s="84"/>
      <c r="O114" s="84"/>
      <c r="P114" s="804"/>
      <c r="Q114" s="804"/>
      <c r="R114" s="809"/>
      <c r="S114" s="809"/>
      <c r="T114" s="809"/>
      <c r="U114" s="809"/>
      <c r="V114" s="809"/>
      <c r="W114" s="806"/>
      <c r="X114" s="300"/>
      <c r="Y114" s="300"/>
      <c r="Z114" s="804"/>
      <c r="AA114" s="804"/>
      <c r="AB114" s="804"/>
      <c r="AC114" s="809"/>
      <c r="AD114" s="809"/>
      <c r="AE114" s="809"/>
      <c r="AF114" s="809"/>
      <c r="AG114" s="809"/>
      <c r="AH114" s="809"/>
      <c r="AI114" s="806"/>
      <c r="AJ114" s="806"/>
      <c r="AK114" s="806"/>
      <c r="AL114" s="804"/>
      <c r="AM114" s="804"/>
      <c r="AN114" s="804"/>
      <c r="AO114" s="809"/>
      <c r="AP114" s="809"/>
      <c r="AQ114" s="809"/>
      <c r="AR114" s="809"/>
      <c r="AS114" s="809"/>
      <c r="AT114" s="809"/>
      <c r="AU114" s="809"/>
      <c r="AV114" s="806"/>
      <c r="AW114" s="806"/>
      <c r="AX114" s="806"/>
      <c r="AY114" s="804"/>
      <c r="AZ114" s="804"/>
      <c r="BA114" s="804"/>
      <c r="BB114" s="809"/>
      <c r="BC114" s="809"/>
      <c r="BD114" s="809"/>
      <c r="BE114" s="809"/>
      <c r="BF114" s="948"/>
      <c r="BG114" s="948"/>
      <c r="BH114" s="948"/>
      <c r="BI114" s="806"/>
      <c r="BJ114" s="806"/>
      <c r="BK114" s="806"/>
      <c r="BL114" s="804"/>
      <c r="BM114" s="804"/>
      <c r="BN114" s="804"/>
      <c r="BO114" s="809"/>
      <c r="BP114" s="809"/>
      <c r="BQ114" s="809"/>
      <c r="BR114" s="809"/>
      <c r="BS114" s="948"/>
      <c r="BT114" s="948"/>
      <c r="BU114" s="948"/>
      <c r="BV114" s="806"/>
      <c r="BW114" s="486"/>
      <c r="BX114" s="486"/>
      <c r="BY114" s="486"/>
      <c r="BZ114" s="486"/>
      <c r="CA114" s="486"/>
      <c r="CB114" s="486"/>
      <c r="CC114" s="486"/>
      <c r="CD114" s="486"/>
      <c r="CE114" s="486"/>
      <c r="CF114" s="486"/>
      <c r="CG114" s="486"/>
      <c r="CH114" s="486"/>
      <c r="CI114" s="486"/>
      <c r="CJ114" s="486"/>
      <c r="CK114" s="486"/>
      <c r="CL114" s="486"/>
      <c r="CM114" s="486"/>
      <c r="CN114" s="486"/>
      <c r="CO114" s="486"/>
      <c r="CP114" s="486"/>
      <c r="CQ114" s="486"/>
      <c r="CR114" s="486"/>
      <c r="CS114" s="486"/>
      <c r="CT114" s="486"/>
      <c r="CU114" s="486"/>
      <c r="CV114" s="486"/>
      <c r="CW114" s="486"/>
      <c r="CX114" s="486"/>
      <c r="CY114" s="486"/>
      <c r="CZ114" s="486"/>
      <c r="DA114" s="486"/>
      <c r="DB114" s="486"/>
      <c r="DC114" s="486"/>
      <c r="DD114" s="486"/>
      <c r="DE114" s="486"/>
      <c r="DF114" s="486"/>
      <c r="DG114" s="486"/>
      <c r="DH114" s="486"/>
      <c r="DI114" s="486"/>
      <c r="DJ114" s="486"/>
      <c r="DK114" s="486"/>
      <c r="DL114" s="486"/>
      <c r="DM114" s="486"/>
      <c r="DN114" s="486"/>
      <c r="DO114" s="486"/>
      <c r="DP114" s="486"/>
      <c r="DQ114" s="486"/>
      <c r="DR114" s="486"/>
      <c r="DS114" s="486"/>
      <c r="DT114" s="486"/>
      <c r="DU114" s="486"/>
      <c r="DV114" s="486"/>
      <c r="DW114" s="486"/>
      <c r="DX114" s="486"/>
      <c r="DY114" s="486"/>
      <c r="DZ114" s="486"/>
      <c r="EA114" s="486"/>
      <c r="EB114" s="486"/>
      <c r="EC114" s="486"/>
      <c r="ED114" s="486"/>
      <c r="EE114" s="486"/>
      <c r="EF114" s="486"/>
      <c r="EG114" s="486"/>
      <c r="EH114" s="486"/>
      <c r="EI114" s="486"/>
      <c r="EJ114" s="486"/>
      <c r="EK114" s="486"/>
      <c r="EL114" s="486"/>
      <c r="EM114" s="486"/>
      <c r="EN114" s="486"/>
      <c r="EO114" s="486"/>
      <c r="EP114" s="486"/>
      <c r="EQ114" s="486"/>
      <c r="ER114" s="486"/>
      <c r="ES114" s="486"/>
      <c r="ET114" s="486"/>
      <c r="EU114" s="486"/>
      <c r="EV114" s="486"/>
      <c r="EW114" s="486"/>
      <c r="EX114" s="486"/>
      <c r="EY114" s="486"/>
      <c r="EZ114" s="486"/>
      <c r="FA114" s="486"/>
      <c r="FB114" s="486"/>
      <c r="FC114" s="486"/>
      <c r="FD114" s="486"/>
      <c r="FE114" s="486"/>
      <c r="FF114" s="486"/>
      <c r="FG114" s="486"/>
      <c r="FH114" s="486"/>
    </row>
    <row r="115" spans="1:164" ht="15.75">
      <c r="A115" s="407">
        <f t="shared" si="60"/>
        <v>156</v>
      </c>
      <c r="B115" s="404" t="s">
        <v>636</v>
      </c>
      <c r="C115" s="1097"/>
      <c r="D115" s="214" t="s">
        <v>1257</v>
      </c>
      <c r="E115" s="405"/>
      <c r="F115" s="1050">
        <f>F113+F114</f>
        <v>0</v>
      </c>
      <c r="G115" s="404"/>
      <c r="H115" s="404"/>
      <c r="I115" s="404"/>
      <c r="J115" s="404"/>
      <c r="K115"/>
      <c r="L115" s="340"/>
      <c r="N115" s="84"/>
      <c r="O115" s="84"/>
      <c r="P115" s="804"/>
      <c r="Q115" s="804"/>
      <c r="R115" s="810"/>
      <c r="S115" s="810"/>
      <c r="T115" s="809"/>
      <c r="U115" s="809"/>
      <c r="V115" s="809"/>
      <c r="W115" s="806"/>
      <c r="X115" s="300"/>
      <c r="Y115" s="300"/>
      <c r="Z115" s="804"/>
      <c r="AA115" s="804"/>
      <c r="AB115" s="804"/>
      <c r="AC115" s="810"/>
      <c r="AD115" s="810"/>
      <c r="AE115" s="809"/>
      <c r="AF115" s="809"/>
      <c r="AG115" s="809"/>
      <c r="AH115" s="809"/>
      <c r="AI115" s="806"/>
      <c r="AJ115" s="806"/>
      <c r="AK115" s="806"/>
      <c r="AL115" s="804"/>
      <c r="AM115" s="804"/>
      <c r="AN115" s="804"/>
      <c r="AO115" s="810"/>
      <c r="AP115" s="810"/>
      <c r="AQ115" s="809"/>
      <c r="AR115" s="809"/>
      <c r="AS115" s="809"/>
      <c r="AT115" s="809"/>
      <c r="AU115" s="809"/>
      <c r="AV115" s="806"/>
      <c r="AW115" s="806"/>
      <c r="AX115" s="806"/>
      <c r="AY115" s="804"/>
      <c r="AZ115" s="804"/>
      <c r="BA115" s="804"/>
      <c r="BB115" s="810"/>
      <c r="BC115" s="810"/>
      <c r="BD115" s="809"/>
      <c r="BE115" s="809"/>
      <c r="BF115" s="948"/>
      <c r="BG115" s="948"/>
      <c r="BH115" s="948"/>
      <c r="BI115" s="806"/>
      <c r="BJ115" s="806"/>
      <c r="BK115" s="806"/>
      <c r="BL115" s="804"/>
      <c r="BM115" s="804"/>
      <c r="BN115" s="804"/>
      <c r="BO115" s="810"/>
      <c r="BP115" s="810"/>
      <c r="BQ115" s="809"/>
      <c r="BR115" s="809"/>
      <c r="BS115" s="948"/>
      <c r="BT115" s="948"/>
      <c r="BU115" s="948"/>
      <c r="BV115" s="806"/>
      <c r="BW115" s="486"/>
      <c r="BX115" s="486"/>
      <c r="BY115" s="486"/>
      <c r="BZ115" s="486"/>
      <c r="CA115" s="486"/>
      <c r="CB115" s="486"/>
      <c r="CC115" s="486"/>
      <c r="CD115" s="486"/>
      <c r="CE115" s="486"/>
      <c r="CF115" s="486"/>
      <c r="CG115" s="486"/>
      <c r="CH115" s="486"/>
      <c r="CI115" s="486"/>
      <c r="CJ115" s="486"/>
      <c r="CK115" s="486"/>
      <c r="CL115" s="486"/>
      <c r="CM115" s="486"/>
      <c r="CN115" s="486"/>
      <c r="CO115" s="486"/>
      <c r="CP115" s="486"/>
      <c r="CQ115" s="486"/>
      <c r="CR115" s="486"/>
      <c r="CS115" s="486"/>
      <c r="CT115" s="486"/>
      <c r="CU115" s="486"/>
      <c r="CV115" s="486"/>
      <c r="CW115" s="486"/>
      <c r="CX115" s="486"/>
      <c r="CY115" s="486"/>
      <c r="CZ115" s="486"/>
      <c r="DA115" s="486"/>
      <c r="DB115" s="486"/>
      <c r="DC115" s="486"/>
      <c r="DD115" s="486"/>
      <c r="DE115" s="486"/>
      <c r="DF115" s="486"/>
      <c r="DG115" s="486"/>
      <c r="DH115" s="486"/>
      <c r="DI115" s="486"/>
      <c r="DJ115" s="486"/>
      <c r="DK115" s="486"/>
      <c r="DL115" s="486"/>
      <c r="DM115" s="486"/>
      <c r="DN115" s="486"/>
      <c r="DO115" s="486"/>
      <c r="DP115" s="486"/>
      <c r="DQ115" s="486"/>
      <c r="DR115" s="486"/>
      <c r="DS115" s="486"/>
      <c r="DT115" s="486"/>
      <c r="DU115" s="486"/>
      <c r="DV115" s="486"/>
      <c r="DW115" s="486"/>
      <c r="DX115" s="486"/>
      <c r="DY115" s="486"/>
      <c r="DZ115" s="486"/>
      <c r="EA115" s="486"/>
      <c r="EB115" s="486"/>
      <c r="EC115" s="486"/>
      <c r="ED115" s="486"/>
      <c r="EE115" s="486"/>
      <c r="EF115" s="486"/>
      <c r="EG115" s="486"/>
      <c r="EH115" s="486"/>
      <c r="EI115" s="486"/>
      <c r="EJ115" s="486"/>
      <c r="EK115" s="486"/>
      <c r="EL115" s="486"/>
      <c r="EM115" s="486"/>
      <c r="EN115" s="486"/>
      <c r="EO115" s="486"/>
      <c r="EP115" s="486"/>
      <c r="EQ115" s="486"/>
      <c r="ER115" s="486"/>
      <c r="ES115" s="486"/>
      <c r="ET115" s="486"/>
      <c r="EU115" s="486"/>
      <c r="EV115" s="486"/>
      <c r="EW115" s="486"/>
      <c r="EX115" s="486"/>
      <c r="EY115" s="486"/>
      <c r="EZ115" s="486"/>
      <c r="FA115" s="486"/>
      <c r="FB115" s="486"/>
      <c r="FC115" s="486"/>
      <c r="FD115" s="486"/>
      <c r="FE115" s="486"/>
      <c r="FF115" s="486"/>
      <c r="FG115" s="486"/>
      <c r="FH115" s="486"/>
    </row>
    <row r="116" spans="1:164" ht="15">
      <c r="A116" s="407">
        <f t="shared" si="60"/>
        <v>157</v>
      </c>
      <c r="B116" s="404" t="s">
        <v>636</v>
      </c>
      <c r="C116" s="1097">
        <v>1</v>
      </c>
      <c r="D116" s="404" t="s">
        <v>1258</v>
      </c>
      <c r="E116" s="404"/>
      <c r="F116" s="1064">
        <f>F115*0.065</f>
        <v>0</v>
      </c>
      <c r="G116" s="1294"/>
      <c r="H116" s="1303"/>
      <c r="I116" s="1303"/>
      <c r="J116" s="1304"/>
      <c r="K116"/>
      <c r="L116" s="340"/>
      <c r="N116" s="84"/>
      <c r="O116" s="84"/>
      <c r="P116" s="804"/>
      <c r="Q116" s="804"/>
      <c r="R116" s="809"/>
      <c r="S116" s="809"/>
      <c r="T116" s="809"/>
      <c r="U116" s="809"/>
      <c r="V116" s="809"/>
      <c r="W116" s="806"/>
      <c r="X116" s="300"/>
      <c r="Y116" s="300"/>
      <c r="Z116" s="804"/>
      <c r="AA116" s="804"/>
      <c r="AB116" s="804"/>
      <c r="AC116" s="809"/>
      <c r="AD116" s="809"/>
      <c r="AE116" s="809"/>
      <c r="AF116" s="809"/>
      <c r="AG116" s="809"/>
      <c r="AH116" s="809"/>
      <c r="AI116" s="806"/>
      <c r="AJ116" s="806"/>
      <c r="AK116" s="806"/>
      <c r="AL116" s="804"/>
      <c r="AM116" s="804"/>
      <c r="AN116" s="804"/>
      <c r="AO116" s="809"/>
      <c r="AP116" s="809"/>
      <c r="AQ116" s="809"/>
      <c r="AR116" s="809"/>
      <c r="AS116" s="809"/>
      <c r="AT116" s="809"/>
      <c r="AU116" s="809"/>
      <c r="AV116" s="806"/>
      <c r="AW116" s="806"/>
      <c r="AX116" s="806"/>
      <c r="AY116" s="804"/>
      <c r="AZ116" s="804"/>
      <c r="BA116" s="804"/>
      <c r="BB116" s="809"/>
      <c r="BC116" s="809"/>
      <c r="BD116" s="809"/>
      <c r="BE116" s="809"/>
      <c r="BF116" s="948"/>
      <c r="BG116" s="948"/>
      <c r="BH116" s="948"/>
      <c r="BI116" s="806"/>
      <c r="BJ116" s="806"/>
      <c r="BK116" s="806"/>
      <c r="BL116" s="804"/>
      <c r="BM116" s="804"/>
      <c r="BN116" s="804"/>
      <c r="BO116" s="809"/>
      <c r="BP116" s="809"/>
      <c r="BQ116" s="809"/>
      <c r="BR116" s="809"/>
      <c r="BS116" s="948"/>
      <c r="BT116" s="948"/>
      <c r="BU116" s="948"/>
      <c r="BV116" s="806"/>
      <c r="BW116" s="486"/>
      <c r="BX116" s="486"/>
      <c r="BY116" s="486"/>
      <c r="BZ116" s="486"/>
      <c r="CA116" s="486"/>
      <c r="CB116" s="486"/>
      <c r="CC116" s="486"/>
      <c r="CD116" s="486"/>
      <c r="CE116" s="486"/>
      <c r="CF116" s="486"/>
      <c r="CG116" s="486"/>
      <c r="CH116" s="486"/>
      <c r="CI116" s="486"/>
      <c r="CJ116" s="486"/>
      <c r="CK116" s="486"/>
      <c r="CL116" s="486"/>
      <c r="CM116" s="486"/>
      <c r="CN116" s="486"/>
      <c r="CO116" s="486"/>
      <c r="CP116" s="486"/>
      <c r="CQ116" s="486"/>
      <c r="CR116" s="486"/>
      <c r="CS116" s="486"/>
      <c r="CT116" s="486"/>
      <c r="CU116" s="486"/>
      <c r="CV116" s="486"/>
      <c r="CW116" s="486"/>
      <c r="CX116" s="486"/>
      <c r="CY116" s="486"/>
      <c r="CZ116" s="486"/>
      <c r="DA116" s="486"/>
      <c r="DB116" s="486"/>
      <c r="DC116" s="486"/>
      <c r="DD116" s="486"/>
      <c r="DE116" s="486"/>
      <c r="DF116" s="486"/>
      <c r="DG116" s="486"/>
      <c r="DH116" s="486"/>
      <c r="DI116" s="486"/>
      <c r="DJ116" s="486"/>
      <c r="DK116" s="486"/>
      <c r="DL116" s="486"/>
      <c r="DM116" s="486"/>
      <c r="DN116" s="486"/>
      <c r="DO116" s="486"/>
      <c r="DP116" s="486"/>
      <c r="DQ116" s="486"/>
      <c r="DR116" s="486"/>
      <c r="DS116" s="486"/>
      <c r="DT116" s="486"/>
      <c r="DU116" s="486"/>
      <c r="DV116" s="486"/>
      <c r="DW116" s="486"/>
      <c r="DX116" s="486"/>
      <c r="DY116" s="486"/>
      <c r="DZ116" s="486"/>
      <c r="EA116" s="486"/>
      <c r="EB116" s="486"/>
      <c r="EC116" s="486"/>
      <c r="ED116" s="486"/>
      <c r="EE116" s="486"/>
      <c r="EF116" s="486"/>
      <c r="EG116" s="486"/>
      <c r="EH116" s="486"/>
      <c r="EI116" s="486"/>
      <c r="EJ116" s="486"/>
      <c r="EK116" s="486"/>
      <c r="EL116" s="486"/>
      <c r="EM116" s="486"/>
      <c r="EN116" s="486"/>
      <c r="EO116" s="486"/>
      <c r="EP116" s="486"/>
      <c r="EQ116" s="486"/>
      <c r="ER116" s="486"/>
      <c r="ES116" s="486"/>
      <c r="ET116" s="486"/>
      <c r="EU116" s="486"/>
      <c r="EV116" s="486"/>
      <c r="EW116" s="486"/>
      <c r="EX116" s="486"/>
      <c r="EY116" s="486"/>
      <c r="EZ116" s="486"/>
      <c r="FA116" s="486"/>
      <c r="FB116" s="486"/>
      <c r="FC116" s="486"/>
      <c r="FD116" s="486"/>
      <c r="FE116" s="486"/>
      <c r="FF116" s="486"/>
      <c r="FG116" s="486"/>
      <c r="FH116" s="486"/>
    </row>
    <row r="117" spans="1:164" ht="15">
      <c r="A117" s="407">
        <f t="shared" si="60"/>
        <v>158</v>
      </c>
      <c r="B117" s="404" t="s">
        <v>636</v>
      </c>
      <c r="C117" s="1097">
        <v>1</v>
      </c>
      <c r="D117" s="404" t="s">
        <v>1259</v>
      </c>
      <c r="E117" s="404"/>
      <c r="F117" s="1064"/>
      <c r="G117" s="1294"/>
      <c r="H117" s="1303"/>
      <c r="I117" s="1303"/>
      <c r="J117" s="1304"/>
      <c r="K117"/>
      <c r="L117" s="340"/>
      <c r="N117" s="84"/>
      <c r="O117" s="84"/>
      <c r="P117" s="804"/>
      <c r="Q117" s="804"/>
      <c r="R117" s="809"/>
      <c r="S117" s="809"/>
      <c r="T117" s="809"/>
      <c r="U117" s="809"/>
      <c r="V117" s="809"/>
      <c r="W117" s="806"/>
      <c r="X117" s="300"/>
      <c r="Y117" s="300"/>
      <c r="Z117" s="804"/>
      <c r="AA117" s="804"/>
      <c r="AB117" s="804"/>
      <c r="AC117" s="809"/>
      <c r="AD117" s="809"/>
      <c r="AE117" s="809"/>
      <c r="AF117" s="809"/>
      <c r="AG117" s="809"/>
      <c r="AH117" s="809"/>
      <c r="AI117" s="806"/>
      <c r="AJ117" s="806"/>
      <c r="AK117" s="806"/>
      <c r="AL117" s="804"/>
      <c r="AM117" s="804"/>
      <c r="AN117" s="804"/>
      <c r="AO117" s="809"/>
      <c r="AP117" s="809"/>
      <c r="AQ117" s="809"/>
      <c r="AR117" s="809"/>
      <c r="AS117" s="809"/>
      <c r="AT117" s="809"/>
      <c r="AU117" s="809"/>
      <c r="AV117" s="806"/>
      <c r="AW117" s="806"/>
      <c r="AX117" s="806"/>
      <c r="AY117" s="804"/>
      <c r="AZ117" s="804"/>
      <c r="BA117" s="804"/>
      <c r="BB117" s="809"/>
      <c r="BC117" s="809"/>
      <c r="BD117" s="809"/>
      <c r="BE117" s="809"/>
      <c r="BF117" s="948"/>
      <c r="BG117" s="948"/>
      <c r="BH117" s="948"/>
      <c r="BI117" s="806"/>
      <c r="BJ117" s="806"/>
      <c r="BK117" s="806"/>
      <c r="BL117" s="804"/>
      <c r="BM117" s="804"/>
      <c r="BN117" s="804"/>
      <c r="BO117" s="809"/>
      <c r="BP117" s="809"/>
      <c r="BQ117" s="809"/>
      <c r="BR117" s="809"/>
      <c r="BS117" s="948"/>
      <c r="BT117" s="948"/>
      <c r="BU117" s="948"/>
      <c r="BV117" s="806"/>
      <c r="BW117" s="486"/>
      <c r="BX117" s="486"/>
      <c r="BY117" s="486"/>
      <c r="BZ117" s="486"/>
      <c r="CA117" s="486"/>
      <c r="CB117" s="486"/>
      <c r="CC117" s="486"/>
      <c r="CD117" s="486"/>
      <c r="CE117" s="486"/>
      <c r="CF117" s="486"/>
      <c r="CG117" s="486"/>
      <c r="CH117" s="486"/>
      <c r="CI117" s="486"/>
      <c r="CJ117" s="486"/>
      <c r="CK117" s="486"/>
      <c r="CL117" s="486"/>
      <c r="CM117" s="486"/>
      <c r="CN117" s="486"/>
      <c r="CO117" s="486"/>
      <c r="CP117" s="486"/>
      <c r="CQ117" s="486"/>
      <c r="CR117" s="486"/>
      <c r="CS117" s="486"/>
      <c r="CT117" s="486"/>
      <c r="CU117" s="486"/>
      <c r="CV117" s="486"/>
      <c r="CW117" s="486"/>
      <c r="CX117" s="486"/>
      <c r="CY117" s="486"/>
      <c r="CZ117" s="486"/>
      <c r="DA117" s="486"/>
      <c r="DB117" s="486"/>
      <c r="DC117" s="486"/>
      <c r="DD117" s="486"/>
      <c r="DE117" s="486"/>
      <c r="DF117" s="486"/>
      <c r="DG117" s="486"/>
      <c r="DH117" s="486"/>
      <c r="DI117" s="486"/>
      <c r="DJ117" s="486"/>
      <c r="DK117" s="486"/>
      <c r="DL117" s="486"/>
      <c r="DM117" s="486"/>
      <c r="DN117" s="486"/>
      <c r="DO117" s="486"/>
      <c r="DP117" s="486"/>
      <c r="DQ117" s="486"/>
      <c r="DR117" s="486"/>
      <c r="DS117" s="486"/>
      <c r="DT117" s="486"/>
      <c r="DU117" s="486"/>
      <c r="DV117" s="486"/>
      <c r="DW117" s="486"/>
      <c r="DX117" s="486"/>
      <c r="DY117" s="486"/>
      <c r="DZ117" s="486"/>
      <c r="EA117" s="486"/>
      <c r="EB117" s="486"/>
      <c r="EC117" s="486"/>
      <c r="ED117" s="486"/>
      <c r="EE117" s="486"/>
      <c r="EF117" s="486"/>
      <c r="EG117" s="486"/>
      <c r="EH117" s="486"/>
      <c r="EI117" s="486"/>
      <c r="EJ117" s="486"/>
      <c r="EK117" s="486"/>
      <c r="EL117" s="486"/>
      <c r="EM117" s="486"/>
      <c r="EN117" s="486"/>
      <c r="EO117" s="486"/>
      <c r="EP117" s="486"/>
      <c r="EQ117" s="486"/>
      <c r="ER117" s="486"/>
      <c r="ES117" s="486"/>
      <c r="ET117" s="486"/>
      <c r="EU117" s="486"/>
      <c r="EV117" s="486"/>
      <c r="EW117" s="486"/>
      <c r="EX117" s="486"/>
      <c r="EY117" s="486"/>
      <c r="EZ117" s="486"/>
      <c r="FA117" s="486"/>
      <c r="FB117" s="486"/>
      <c r="FC117" s="486"/>
      <c r="FD117" s="486"/>
      <c r="FE117" s="486"/>
      <c r="FF117" s="486"/>
      <c r="FG117" s="486"/>
      <c r="FH117" s="486"/>
    </row>
    <row r="118" spans="1:164" ht="15.75">
      <c r="A118" s="407">
        <f t="shared" si="60"/>
        <v>159</v>
      </c>
      <c r="B118" s="404" t="s">
        <v>636</v>
      </c>
      <c r="C118" s="1097"/>
      <c r="D118" s="214" t="s">
        <v>1260</v>
      </c>
      <c r="E118" s="405"/>
      <c r="F118" s="1050">
        <f>SUM(F115:F117)</f>
        <v>0</v>
      </c>
      <c r="G118" s="404"/>
      <c r="H118" s="404"/>
      <c r="I118" s="404"/>
      <c r="J118" s="404"/>
      <c r="K118" s="311"/>
      <c r="L118" s="340"/>
      <c r="N118" s="84"/>
      <c r="O118" s="84"/>
      <c r="P118" s="804"/>
      <c r="Q118" s="804"/>
      <c r="R118" s="810"/>
      <c r="S118" s="810"/>
      <c r="T118" s="809"/>
      <c r="U118" s="809"/>
      <c r="V118" s="809"/>
      <c r="W118" s="806"/>
      <c r="X118" s="300"/>
      <c r="Y118" s="300"/>
      <c r="Z118" s="804"/>
      <c r="AA118" s="804"/>
      <c r="AB118" s="804"/>
      <c r="AC118" s="810"/>
      <c r="AD118" s="810"/>
      <c r="AE118" s="809"/>
      <c r="AF118" s="809"/>
      <c r="AG118" s="809"/>
      <c r="AH118" s="809"/>
      <c r="AI118" s="806"/>
      <c r="AJ118" s="806"/>
      <c r="AK118" s="806"/>
      <c r="AL118" s="804"/>
      <c r="AM118" s="804"/>
      <c r="AN118" s="804"/>
      <c r="AO118" s="810"/>
      <c r="AP118" s="810"/>
      <c r="AQ118" s="809"/>
      <c r="AR118" s="809"/>
      <c r="AS118" s="809"/>
      <c r="AT118" s="809"/>
      <c r="AU118" s="809"/>
      <c r="AV118" s="806"/>
      <c r="AW118" s="806"/>
      <c r="AX118" s="806"/>
      <c r="AY118" s="804"/>
      <c r="AZ118" s="804"/>
      <c r="BA118" s="804"/>
      <c r="BB118" s="810"/>
      <c r="BC118" s="810"/>
      <c r="BD118" s="809"/>
      <c r="BE118" s="809"/>
      <c r="BF118" s="948"/>
      <c r="BG118" s="948"/>
      <c r="BH118" s="948"/>
      <c r="BI118" s="806"/>
      <c r="BJ118" s="806"/>
      <c r="BK118" s="806"/>
      <c r="BL118" s="804"/>
      <c r="BM118" s="804"/>
      <c r="BN118" s="804"/>
      <c r="BO118" s="810"/>
      <c r="BP118" s="810"/>
      <c r="BQ118" s="809"/>
      <c r="BR118" s="809"/>
      <c r="BS118" s="948"/>
      <c r="BT118" s="948"/>
      <c r="BU118" s="948"/>
      <c r="BV118" s="806"/>
      <c r="BW118" s="486"/>
      <c r="BX118" s="486"/>
      <c r="BY118" s="486"/>
      <c r="BZ118" s="486"/>
      <c r="CA118" s="486"/>
      <c r="CB118" s="486"/>
      <c r="CC118" s="486"/>
      <c r="CD118" s="486"/>
      <c r="CE118" s="486"/>
      <c r="CF118" s="486"/>
      <c r="CG118" s="486"/>
      <c r="CH118" s="486"/>
      <c r="CI118" s="486"/>
      <c r="CJ118" s="486"/>
      <c r="CK118" s="486"/>
      <c r="CL118" s="486"/>
      <c r="CM118" s="486"/>
      <c r="CN118" s="486"/>
      <c r="CO118" s="486"/>
      <c r="CP118" s="486"/>
      <c r="CQ118" s="486"/>
      <c r="CR118" s="486"/>
      <c r="CS118" s="486"/>
      <c r="CT118" s="486"/>
      <c r="CU118" s="486"/>
      <c r="CV118" s="486"/>
      <c r="CW118" s="486"/>
      <c r="CX118" s="486"/>
      <c r="CY118" s="486"/>
      <c r="CZ118" s="486"/>
      <c r="DA118" s="486"/>
      <c r="DB118" s="486"/>
      <c r="DC118" s="486"/>
      <c r="DD118" s="486"/>
      <c r="DE118" s="486"/>
      <c r="DF118" s="486"/>
      <c r="DG118" s="486"/>
      <c r="DH118" s="486"/>
      <c r="DI118" s="486"/>
      <c r="DJ118" s="486"/>
      <c r="DK118" s="486"/>
      <c r="DL118" s="486"/>
      <c r="DM118" s="486"/>
      <c r="DN118" s="486"/>
      <c r="DO118" s="486"/>
      <c r="DP118" s="486"/>
      <c r="DQ118" s="486"/>
      <c r="DR118" s="486"/>
      <c r="DS118" s="486"/>
      <c r="DT118" s="486"/>
      <c r="DU118" s="486"/>
      <c r="DV118" s="486"/>
      <c r="DW118" s="486"/>
      <c r="DX118" s="486"/>
      <c r="DY118" s="486"/>
      <c r="DZ118" s="486"/>
      <c r="EA118" s="486"/>
      <c r="EB118" s="486"/>
      <c r="EC118" s="486"/>
      <c r="ED118" s="486"/>
      <c r="EE118" s="486"/>
      <c r="EF118" s="486"/>
      <c r="EG118" s="486"/>
      <c r="EH118" s="486"/>
      <c r="EI118" s="486"/>
      <c r="EJ118" s="486"/>
      <c r="EK118" s="486"/>
      <c r="EL118" s="486"/>
      <c r="EM118" s="486"/>
      <c r="EN118" s="486"/>
      <c r="EO118" s="486"/>
      <c r="EP118" s="486"/>
      <c r="EQ118" s="486"/>
      <c r="ER118" s="486"/>
      <c r="ES118" s="486"/>
      <c r="ET118" s="486"/>
      <c r="EU118" s="486"/>
      <c r="EV118" s="486"/>
      <c r="EW118" s="486"/>
      <c r="EX118" s="486"/>
      <c r="EY118" s="486"/>
      <c r="EZ118" s="486"/>
      <c r="FA118" s="486"/>
      <c r="FB118" s="486"/>
      <c r="FC118" s="486"/>
      <c r="FD118" s="486"/>
      <c r="FE118" s="486"/>
      <c r="FF118" s="486"/>
      <c r="FG118" s="486"/>
      <c r="FH118" s="486"/>
    </row>
    <row r="119" spans="1:164" ht="15">
      <c r="A119" s="407"/>
      <c r="B119" s="404"/>
      <c r="C119" s="188"/>
      <c r="D119" s="775"/>
      <c r="E119" s="775"/>
      <c r="F119" s="775"/>
      <c r="G119" s="775"/>
      <c r="H119" s="775"/>
      <c r="I119" s="775"/>
      <c r="J119" s="775"/>
      <c r="K119" s="250"/>
      <c r="L119" s="335"/>
      <c r="N119" s="84"/>
      <c r="O119" s="84"/>
      <c r="P119" s="804"/>
      <c r="Q119" s="804"/>
      <c r="R119" s="811"/>
      <c r="S119" s="811"/>
      <c r="T119" s="811"/>
      <c r="U119" s="811"/>
      <c r="V119" s="811"/>
      <c r="W119" s="806"/>
      <c r="X119" s="300"/>
      <c r="Y119" s="300"/>
      <c r="Z119" s="804"/>
      <c r="AA119" s="804"/>
      <c r="AB119" s="804"/>
      <c r="AC119" s="811"/>
      <c r="AD119" s="811"/>
      <c r="AE119" s="811"/>
      <c r="AF119" s="811"/>
      <c r="AG119" s="811"/>
      <c r="AH119" s="811"/>
      <c r="AI119" s="806"/>
      <c r="AJ119" s="806"/>
      <c r="AK119" s="806"/>
      <c r="AL119" s="804"/>
      <c r="AM119" s="804"/>
      <c r="AN119" s="804"/>
      <c r="AO119" s="811"/>
      <c r="AP119" s="811"/>
      <c r="AQ119" s="811"/>
      <c r="AR119" s="811"/>
      <c r="AS119" s="811"/>
      <c r="AT119" s="811"/>
      <c r="AU119" s="811"/>
      <c r="AV119" s="806"/>
      <c r="AW119" s="806"/>
      <c r="AX119" s="806"/>
      <c r="AY119" s="804"/>
      <c r="AZ119" s="804"/>
      <c r="BA119" s="804"/>
      <c r="BB119" s="811"/>
      <c r="BC119" s="811"/>
      <c r="BD119" s="811"/>
      <c r="BE119" s="811"/>
      <c r="BF119" s="949"/>
      <c r="BG119" s="949"/>
      <c r="BH119" s="949"/>
      <c r="BI119" s="806"/>
      <c r="BJ119" s="806"/>
      <c r="BK119" s="806"/>
      <c r="BL119" s="804"/>
      <c r="BM119" s="804"/>
      <c r="BN119" s="804"/>
      <c r="BO119" s="811"/>
      <c r="BP119" s="811"/>
      <c r="BQ119" s="811"/>
      <c r="BR119" s="811"/>
      <c r="BS119" s="949"/>
      <c r="BT119" s="949"/>
      <c r="BU119" s="949"/>
      <c r="BV119" s="806"/>
      <c r="BW119" s="486"/>
      <c r="BX119" s="486"/>
      <c r="BY119" s="486"/>
      <c r="BZ119" s="486"/>
      <c r="CA119" s="486"/>
      <c r="CB119" s="486"/>
      <c r="CC119" s="486"/>
      <c r="CD119" s="486"/>
      <c r="CE119" s="486"/>
      <c r="CF119" s="486"/>
      <c r="CG119" s="486"/>
      <c r="CH119" s="486"/>
      <c r="CI119" s="486"/>
      <c r="CJ119" s="486"/>
      <c r="CK119" s="486"/>
      <c r="CL119" s="486"/>
      <c r="CM119" s="486"/>
      <c r="CN119" s="486"/>
      <c r="CO119" s="486"/>
      <c r="CP119" s="486"/>
      <c r="CQ119" s="486"/>
      <c r="CR119" s="486"/>
      <c r="CS119" s="486"/>
      <c r="CT119" s="486"/>
      <c r="CU119" s="486"/>
      <c r="CV119" s="486"/>
      <c r="CW119" s="486"/>
      <c r="CX119" s="486"/>
      <c r="CY119" s="486"/>
      <c r="CZ119" s="486"/>
      <c r="DA119" s="486"/>
      <c r="DB119" s="486"/>
      <c r="DC119" s="486"/>
      <c r="DD119" s="486"/>
      <c r="DE119" s="486"/>
      <c r="DF119" s="486"/>
      <c r="DG119" s="486"/>
      <c r="DH119" s="486"/>
      <c r="DI119" s="486"/>
      <c r="DJ119" s="486"/>
      <c r="DK119" s="486"/>
      <c r="DL119" s="486"/>
      <c r="DM119" s="486"/>
      <c r="DN119" s="486"/>
      <c r="DO119" s="486"/>
      <c r="DP119" s="486"/>
      <c r="DQ119" s="486"/>
      <c r="DR119" s="486"/>
      <c r="DS119" s="486"/>
      <c r="DT119" s="486"/>
      <c r="DU119" s="486"/>
      <c r="DV119" s="486"/>
      <c r="DW119" s="486"/>
      <c r="DX119" s="486"/>
      <c r="DY119" s="486"/>
      <c r="DZ119" s="486"/>
      <c r="EA119" s="486"/>
      <c r="EB119" s="486"/>
      <c r="EC119" s="486"/>
      <c r="ED119" s="486"/>
      <c r="EE119" s="486"/>
      <c r="EF119" s="486"/>
      <c r="EG119" s="486"/>
      <c r="EH119" s="486"/>
      <c r="EI119" s="486"/>
      <c r="EJ119" s="486"/>
      <c r="EK119" s="486"/>
      <c r="EL119" s="486"/>
      <c r="EM119" s="486"/>
      <c r="EN119" s="486"/>
      <c r="EO119" s="486"/>
      <c r="EP119" s="486"/>
      <c r="EQ119" s="486"/>
      <c r="ER119" s="486"/>
      <c r="ES119" s="486"/>
      <c r="ET119" s="486"/>
      <c r="EU119" s="486"/>
      <c r="EV119" s="486"/>
      <c r="EW119" s="486"/>
      <c r="EX119" s="486"/>
      <c r="EY119" s="486"/>
      <c r="EZ119" s="486"/>
      <c r="FA119" s="486"/>
      <c r="FB119" s="486"/>
      <c r="FC119" s="486"/>
      <c r="FD119" s="486"/>
      <c r="FE119" s="486"/>
      <c r="FF119" s="486"/>
      <c r="FG119" s="486"/>
      <c r="FH119" s="486"/>
    </row>
    <row r="120" spans="1:164" ht="15.75">
      <c r="A120" s="407">
        <f>A118+1</f>
        <v>160</v>
      </c>
      <c r="B120" s="404"/>
      <c r="C120" s="188"/>
      <c r="D120" s="775"/>
      <c r="E120" s="816" t="s">
        <v>323</v>
      </c>
      <c r="F120" s="1051" t="str">
        <f>IF(('1. Description'!E140+'1. Description'!E141)&gt;0,+F118/('1. Description'!E140+'1. Description'!E141),"          N/A")</f>
        <v xml:space="preserve">          N/A</v>
      </c>
      <c r="G120" s="775"/>
      <c r="H120" s="816" t="s">
        <v>324</v>
      </c>
      <c r="I120" s="1052" t="str">
        <f>IF('1. Description'!E140&gt;0,+F131/'1. Description'!E140,"N/A")</f>
        <v>N/A</v>
      </c>
      <c r="J120" s="775"/>
      <c r="K120" s="250"/>
      <c r="L120" s="335"/>
      <c r="N120" s="84"/>
      <c r="O120" s="84"/>
      <c r="P120" s="804"/>
      <c r="Q120" s="804"/>
      <c r="R120" s="811"/>
      <c r="S120" s="810"/>
      <c r="T120" s="810"/>
      <c r="U120" s="811"/>
      <c r="V120" s="810"/>
      <c r="W120" s="806"/>
      <c r="X120" s="300"/>
      <c r="Y120" s="300"/>
      <c r="Z120" s="804"/>
      <c r="AA120" s="804"/>
      <c r="AB120" s="804"/>
      <c r="AC120" s="811"/>
      <c r="AD120" s="810"/>
      <c r="AE120" s="810"/>
      <c r="AF120" s="811"/>
      <c r="AG120" s="810"/>
      <c r="AH120" s="810"/>
      <c r="AI120" s="806"/>
      <c r="AJ120" s="806"/>
      <c r="AK120" s="806"/>
      <c r="AL120" s="804"/>
      <c r="AM120" s="804"/>
      <c r="AN120" s="804"/>
      <c r="AO120" s="811"/>
      <c r="AP120" s="810"/>
      <c r="AQ120" s="810"/>
      <c r="AR120" s="811"/>
      <c r="AS120" s="810"/>
      <c r="AT120" s="810"/>
      <c r="AU120" s="810"/>
      <c r="AV120" s="806"/>
      <c r="AW120" s="806"/>
      <c r="AX120" s="806"/>
      <c r="AY120" s="804"/>
      <c r="AZ120" s="804"/>
      <c r="BA120" s="804"/>
      <c r="BB120" s="811"/>
      <c r="BC120" s="810"/>
      <c r="BD120" s="810"/>
      <c r="BE120" s="811"/>
      <c r="BF120" s="950"/>
      <c r="BG120" s="950"/>
      <c r="BH120" s="950"/>
      <c r="BI120" s="806"/>
      <c r="BJ120" s="806"/>
      <c r="BK120" s="806"/>
      <c r="BL120" s="804"/>
      <c r="BM120" s="804"/>
      <c r="BN120" s="804"/>
      <c r="BO120" s="811"/>
      <c r="BP120" s="810"/>
      <c r="BQ120" s="810"/>
      <c r="BR120" s="811"/>
      <c r="BS120" s="950"/>
      <c r="BT120" s="950"/>
      <c r="BU120" s="950"/>
      <c r="BV120" s="806"/>
      <c r="BW120" s="486"/>
      <c r="BX120" s="486"/>
      <c r="BY120" s="486"/>
      <c r="BZ120" s="486"/>
      <c r="CA120" s="486"/>
      <c r="CB120" s="486"/>
      <c r="CC120" s="486"/>
      <c r="CD120" s="486"/>
      <c r="CE120" s="486"/>
      <c r="CF120" s="486"/>
      <c r="CG120" s="486"/>
      <c r="CH120" s="486"/>
      <c r="CI120" s="486"/>
      <c r="CJ120" s="486"/>
      <c r="CK120" s="486"/>
      <c r="CL120" s="486"/>
      <c r="CM120" s="486"/>
      <c r="CN120" s="486"/>
      <c r="CO120" s="486"/>
      <c r="CP120" s="486"/>
      <c r="CQ120" s="486"/>
      <c r="CR120" s="486"/>
      <c r="CS120" s="486"/>
      <c r="CT120" s="486"/>
      <c r="CU120" s="486"/>
      <c r="CV120" s="486"/>
      <c r="CW120" s="486"/>
      <c r="CX120" s="486"/>
      <c r="CY120" s="486"/>
      <c r="CZ120" s="486"/>
      <c r="DA120" s="486"/>
      <c r="DB120" s="486"/>
      <c r="DC120" s="486"/>
      <c r="DD120" s="486"/>
      <c r="DE120" s="486"/>
      <c r="DF120" s="486"/>
      <c r="DG120" s="486"/>
      <c r="DH120" s="486"/>
      <c r="DI120" s="486"/>
      <c r="DJ120" s="486"/>
      <c r="DK120" s="486"/>
      <c r="DL120" s="486"/>
      <c r="DM120" s="486"/>
      <c r="DN120" s="486"/>
      <c r="DO120" s="486"/>
      <c r="DP120" s="486"/>
      <c r="DQ120" s="486"/>
      <c r="DR120" s="486"/>
      <c r="DS120" s="486"/>
      <c r="DT120" s="486"/>
      <c r="DU120" s="486"/>
      <c r="DV120" s="486"/>
      <c r="DW120" s="486"/>
      <c r="DX120" s="486"/>
      <c r="DY120" s="486"/>
      <c r="DZ120" s="486"/>
      <c r="EA120" s="486"/>
      <c r="EB120" s="486"/>
      <c r="EC120" s="486"/>
      <c r="ED120" s="486"/>
      <c r="EE120" s="486"/>
      <c r="EF120" s="486"/>
      <c r="EG120" s="486"/>
      <c r="EH120" s="486"/>
      <c r="EI120" s="486"/>
      <c r="EJ120" s="486"/>
      <c r="EK120" s="486"/>
      <c r="EL120" s="486"/>
      <c r="EM120" s="486"/>
      <c r="EN120" s="486"/>
      <c r="EO120" s="486"/>
      <c r="EP120" s="486"/>
      <c r="EQ120" s="486"/>
      <c r="ER120" s="486"/>
      <c r="ES120" s="486"/>
      <c r="ET120" s="486"/>
      <c r="EU120" s="486"/>
      <c r="EV120" s="486"/>
      <c r="EW120" s="486"/>
      <c r="EX120" s="486"/>
      <c r="EY120" s="486"/>
      <c r="EZ120" s="486"/>
      <c r="FA120" s="486"/>
      <c r="FB120" s="486"/>
      <c r="FC120" s="486"/>
      <c r="FD120" s="486"/>
      <c r="FE120" s="486"/>
      <c r="FF120" s="486"/>
      <c r="FG120" s="486"/>
      <c r="FH120" s="486"/>
    </row>
    <row r="121" spans="1:164" ht="15.75" thickBot="1">
      <c r="A121" s="354"/>
      <c r="B121" s="355"/>
      <c r="C121" s="356"/>
      <c r="D121" s="356"/>
      <c r="E121" s="356"/>
      <c r="F121" s="356"/>
      <c r="G121" s="356"/>
      <c r="H121" s="356"/>
      <c r="I121" s="356"/>
      <c r="J121" s="356"/>
      <c r="K121" s="356"/>
      <c r="L121" s="357"/>
      <c r="N121" s="84"/>
      <c r="O121" s="84"/>
      <c r="P121" s="804"/>
      <c r="Q121" s="804"/>
      <c r="R121" s="811"/>
      <c r="S121" s="811"/>
      <c r="T121" s="811"/>
      <c r="U121" s="811"/>
      <c r="V121" s="811"/>
      <c r="W121" s="806"/>
      <c r="X121" s="300"/>
      <c r="Y121" s="300"/>
      <c r="Z121" s="804"/>
      <c r="AA121" s="804"/>
      <c r="AB121" s="804"/>
      <c r="AC121" s="811"/>
      <c r="AD121" s="811"/>
      <c r="AE121" s="811"/>
      <c r="AF121" s="811"/>
      <c r="AG121" s="811"/>
      <c r="AH121" s="811"/>
      <c r="AI121" s="806"/>
      <c r="AJ121" s="806"/>
      <c r="AK121" s="806"/>
      <c r="AL121" s="804"/>
      <c r="AM121" s="804"/>
      <c r="AN121" s="804"/>
      <c r="AO121" s="811"/>
      <c r="AP121" s="811"/>
      <c r="AQ121" s="811"/>
      <c r="AR121" s="811"/>
      <c r="AS121" s="811"/>
      <c r="AT121" s="811"/>
      <c r="AU121" s="811"/>
      <c r="AV121" s="806"/>
      <c r="AW121" s="806"/>
      <c r="AX121" s="806"/>
      <c r="AY121" s="804"/>
      <c r="AZ121" s="804"/>
      <c r="BA121" s="804"/>
      <c r="BB121" s="811"/>
      <c r="BC121" s="811"/>
      <c r="BD121" s="811"/>
      <c r="BE121" s="811"/>
      <c r="BF121" s="949"/>
      <c r="BG121" s="949"/>
      <c r="BH121" s="949"/>
      <c r="BI121" s="806"/>
      <c r="BJ121" s="806"/>
      <c r="BK121" s="806"/>
      <c r="BL121" s="804"/>
      <c r="BM121" s="804"/>
      <c r="BN121" s="804"/>
      <c r="BO121" s="811"/>
      <c r="BP121" s="811"/>
      <c r="BQ121" s="811"/>
      <c r="BR121" s="811"/>
      <c r="BS121" s="949"/>
      <c r="BT121" s="949"/>
      <c r="BU121" s="949"/>
      <c r="BV121" s="806"/>
      <c r="BW121" s="486"/>
      <c r="BX121" s="486"/>
      <c r="BY121" s="486"/>
      <c r="BZ121" s="486"/>
      <c r="CA121" s="486"/>
      <c r="CB121" s="486"/>
      <c r="CC121" s="486"/>
      <c r="CD121" s="486"/>
      <c r="CE121" s="486"/>
      <c r="CF121" s="486"/>
      <c r="CG121" s="486"/>
      <c r="CH121" s="486"/>
      <c r="CI121" s="486"/>
      <c r="CJ121" s="486"/>
      <c r="CK121" s="486"/>
      <c r="CL121" s="486"/>
      <c r="CM121" s="486"/>
      <c r="CN121" s="486"/>
      <c r="CO121" s="486"/>
      <c r="CP121" s="486"/>
      <c r="CQ121" s="486"/>
      <c r="CR121" s="486"/>
      <c r="CS121" s="486"/>
      <c r="CT121" s="486"/>
      <c r="CU121" s="486"/>
      <c r="CV121" s="486"/>
      <c r="CW121" s="486"/>
      <c r="CX121" s="486"/>
      <c r="CY121" s="486"/>
      <c r="CZ121" s="486"/>
      <c r="DA121" s="486"/>
      <c r="DB121" s="486"/>
      <c r="DC121" s="486"/>
      <c r="DD121" s="486"/>
      <c r="DE121" s="486"/>
      <c r="DF121" s="486"/>
      <c r="DG121" s="486"/>
      <c r="DH121" s="486"/>
      <c r="DI121" s="486"/>
      <c r="DJ121" s="486"/>
      <c r="DK121" s="486"/>
      <c r="DL121" s="486"/>
      <c r="DM121" s="486"/>
      <c r="DN121" s="486"/>
      <c r="DO121" s="486"/>
      <c r="DP121" s="486"/>
      <c r="DQ121" s="486"/>
      <c r="DR121" s="486"/>
      <c r="DS121" s="486"/>
      <c r="DT121" s="486"/>
      <c r="DU121" s="486"/>
      <c r="DV121" s="486"/>
      <c r="DW121" s="486"/>
      <c r="DX121" s="486"/>
      <c r="DY121" s="486"/>
      <c r="DZ121" s="486"/>
      <c r="EA121" s="486"/>
      <c r="EB121" s="486"/>
      <c r="EC121" s="486"/>
      <c r="ED121" s="486"/>
      <c r="EE121" s="486"/>
      <c r="EF121" s="486"/>
      <c r="EG121" s="486"/>
      <c r="EH121" s="486"/>
      <c r="EI121" s="486"/>
      <c r="EJ121" s="486"/>
      <c r="EK121" s="486"/>
      <c r="EL121" s="486"/>
      <c r="EM121" s="486"/>
      <c r="EN121" s="486"/>
      <c r="EO121" s="486"/>
      <c r="EP121" s="486"/>
      <c r="EQ121" s="486"/>
      <c r="ER121" s="486"/>
      <c r="ES121" s="486"/>
      <c r="ET121" s="486"/>
      <c r="EU121" s="486"/>
      <c r="EV121" s="486"/>
      <c r="EW121" s="486"/>
      <c r="EX121" s="486"/>
      <c r="EY121" s="486"/>
      <c r="EZ121" s="486"/>
      <c r="FA121" s="486"/>
      <c r="FB121" s="486"/>
      <c r="FC121" s="486"/>
      <c r="FD121" s="486"/>
      <c r="FE121" s="486"/>
      <c r="FF121" s="486"/>
      <c r="FG121" s="486"/>
      <c r="FH121" s="486"/>
    </row>
    <row r="122" spans="1:164" s="358" customFormat="1" ht="12">
      <c r="A122" s="256"/>
      <c r="B122" s="136"/>
      <c r="C122" s="136">
        <f>PROJNAME</f>
        <v>0</v>
      </c>
      <c r="D122" s="256"/>
      <c r="E122" s="256"/>
      <c r="F122" s="256"/>
      <c r="G122" s="256"/>
      <c r="H122" s="136" t="e">
        <f>$H$56</f>
        <v>#VALUE!</v>
      </c>
      <c r="I122" s="415"/>
      <c r="J122" s="415" t="e">
        <f>$J$56</f>
        <v>#VALUE!</v>
      </c>
      <c r="K122" s="415"/>
      <c r="L122" s="415"/>
      <c r="P122" s="812"/>
      <c r="Q122" s="812"/>
      <c r="R122" s="813"/>
      <c r="S122" s="813"/>
      <c r="T122" s="813"/>
      <c r="U122" s="813"/>
      <c r="V122" s="813"/>
      <c r="W122" s="812"/>
      <c r="Z122" s="812"/>
      <c r="AA122" s="812"/>
      <c r="AB122" s="812"/>
      <c r="AC122" s="813"/>
      <c r="AD122" s="813"/>
      <c r="AE122" s="813"/>
      <c r="AF122" s="813"/>
      <c r="AG122" s="813"/>
      <c r="AH122" s="813"/>
      <c r="AI122" s="812"/>
      <c r="AJ122" s="812"/>
      <c r="AK122" s="812"/>
      <c r="AL122" s="812"/>
      <c r="AM122" s="812"/>
      <c r="AN122" s="812"/>
      <c r="AO122" s="813"/>
      <c r="AP122" s="813"/>
      <c r="AQ122" s="813"/>
      <c r="AR122" s="813"/>
      <c r="AS122" s="813"/>
      <c r="AT122" s="813"/>
      <c r="AU122" s="813"/>
      <c r="AV122" s="812"/>
      <c r="AW122" s="812"/>
      <c r="AX122" s="812"/>
      <c r="AY122" s="812"/>
      <c r="AZ122" s="812"/>
      <c r="BA122" s="812"/>
      <c r="BB122" s="813"/>
      <c r="BC122" s="813"/>
      <c r="BD122" s="813"/>
      <c r="BE122" s="813"/>
      <c r="BF122" s="951"/>
      <c r="BG122" s="951"/>
      <c r="BH122" s="951"/>
      <c r="BI122" s="812"/>
      <c r="BJ122" s="812"/>
      <c r="BK122" s="812"/>
      <c r="BL122" s="812"/>
      <c r="BM122" s="812"/>
      <c r="BN122" s="812"/>
      <c r="BO122" s="813"/>
      <c r="BP122" s="813"/>
      <c r="BQ122" s="813"/>
      <c r="BR122" s="813"/>
      <c r="BS122" s="951"/>
      <c r="BT122" s="951"/>
      <c r="BU122" s="951"/>
      <c r="BV122" s="812"/>
      <c r="BW122" s="812"/>
      <c r="BX122" s="812"/>
      <c r="BY122" s="812"/>
      <c r="BZ122" s="812"/>
      <c r="CA122" s="812"/>
      <c r="CB122" s="812"/>
      <c r="CC122" s="812"/>
      <c r="CD122" s="812"/>
      <c r="CE122" s="812"/>
      <c r="CF122" s="812"/>
      <c r="CG122" s="812"/>
      <c r="CH122" s="812"/>
      <c r="CI122" s="812"/>
      <c r="CJ122" s="812"/>
      <c r="CK122" s="812"/>
      <c r="CL122" s="812"/>
      <c r="CM122" s="812"/>
      <c r="CN122" s="812"/>
      <c r="CO122" s="812"/>
      <c r="CP122" s="812"/>
      <c r="CQ122" s="812"/>
      <c r="CR122" s="812"/>
      <c r="CS122" s="812"/>
      <c r="CT122" s="812"/>
      <c r="CU122" s="812"/>
      <c r="CV122" s="812"/>
      <c r="CW122" s="812"/>
      <c r="CX122" s="812"/>
      <c r="CY122" s="812"/>
      <c r="CZ122" s="812"/>
      <c r="DA122" s="812"/>
      <c r="DB122" s="812"/>
      <c r="DC122" s="812"/>
      <c r="DD122" s="812"/>
      <c r="DE122" s="812"/>
      <c r="DF122" s="812"/>
      <c r="DG122" s="812"/>
      <c r="DH122" s="812"/>
      <c r="DI122" s="812"/>
      <c r="DJ122" s="812"/>
      <c r="DK122" s="812"/>
      <c r="DL122" s="812"/>
      <c r="DM122" s="812"/>
      <c r="DN122" s="812"/>
      <c r="DO122" s="812"/>
      <c r="DP122" s="812"/>
      <c r="DQ122" s="812"/>
      <c r="DR122" s="812"/>
      <c r="DS122" s="812"/>
      <c r="DT122" s="812"/>
      <c r="DU122" s="812"/>
      <c r="DV122" s="812"/>
      <c r="DW122" s="812"/>
      <c r="DX122" s="812"/>
      <c r="DY122" s="812"/>
      <c r="DZ122" s="812"/>
      <c r="EA122" s="812"/>
      <c r="EB122" s="812"/>
      <c r="EC122" s="812"/>
      <c r="ED122" s="812"/>
      <c r="EE122" s="812"/>
      <c r="EF122" s="812"/>
      <c r="EG122" s="812"/>
      <c r="EH122" s="812"/>
      <c r="EI122" s="812"/>
      <c r="EJ122" s="812"/>
      <c r="EK122" s="812"/>
      <c r="EL122" s="812"/>
      <c r="EM122" s="812"/>
      <c r="EN122" s="812"/>
      <c r="EO122" s="812"/>
      <c r="EP122" s="812"/>
      <c r="EQ122" s="812"/>
      <c r="ER122" s="812"/>
      <c r="ES122" s="812"/>
      <c r="ET122" s="812"/>
      <c r="EU122" s="812"/>
      <c r="EV122" s="812"/>
      <c r="EW122" s="812"/>
      <c r="EX122" s="812"/>
      <c r="EY122" s="812"/>
      <c r="EZ122" s="812"/>
      <c r="FA122" s="812"/>
      <c r="FB122" s="812"/>
      <c r="FC122" s="812"/>
      <c r="FD122" s="812"/>
      <c r="FE122" s="812"/>
      <c r="FF122" s="812"/>
      <c r="FG122" s="812"/>
      <c r="FH122" s="812"/>
    </row>
    <row r="123" spans="1:164" ht="16.5" thickBot="1">
      <c r="A123" s="272" t="s">
        <v>1205</v>
      </c>
      <c r="B123" s="222"/>
      <c r="C123" s="272"/>
      <c r="D123" s="304"/>
      <c r="E123" s="304"/>
      <c r="F123" s="304"/>
      <c r="G123" s="304"/>
      <c r="H123" s="304"/>
      <c r="I123" s="304"/>
      <c r="J123" s="272" t="s">
        <v>1261</v>
      </c>
      <c r="K123" s="272"/>
      <c r="L123" s="250"/>
      <c r="N123" s="84"/>
      <c r="O123" s="84"/>
      <c r="P123" s="804"/>
      <c r="Q123" s="804"/>
      <c r="R123" s="810"/>
      <c r="S123" s="810"/>
      <c r="T123" s="810"/>
      <c r="U123" s="810"/>
      <c r="V123" s="814"/>
      <c r="W123" s="806"/>
      <c r="X123" s="300"/>
      <c r="Y123" s="300"/>
      <c r="Z123" s="804"/>
      <c r="AA123" s="804"/>
      <c r="AB123" s="804"/>
      <c r="AC123" s="810"/>
      <c r="AD123" s="810"/>
      <c r="AE123" s="810"/>
      <c r="AF123" s="810"/>
      <c r="AG123" s="814"/>
      <c r="AH123" s="814"/>
      <c r="AI123" s="806"/>
      <c r="AJ123" s="806"/>
      <c r="AK123" s="806"/>
      <c r="AL123" s="804"/>
      <c r="AM123" s="804"/>
      <c r="AN123" s="804"/>
      <c r="AO123" s="810"/>
      <c r="AP123" s="810"/>
      <c r="AQ123" s="810"/>
      <c r="AR123" s="810"/>
      <c r="AS123" s="814"/>
      <c r="AT123" s="814"/>
      <c r="AU123" s="814"/>
      <c r="AV123" s="806"/>
      <c r="AW123" s="806"/>
      <c r="AX123" s="806"/>
      <c r="AY123" s="804"/>
      <c r="AZ123" s="804"/>
      <c r="BA123" s="804"/>
      <c r="BB123" s="810"/>
      <c r="BC123" s="810"/>
      <c r="BD123" s="810"/>
      <c r="BE123" s="810"/>
      <c r="BF123" s="952"/>
      <c r="BG123" s="952"/>
      <c r="BH123" s="952"/>
      <c r="BI123" s="806"/>
      <c r="BJ123" s="806"/>
      <c r="BK123" s="806"/>
      <c r="BL123" s="804"/>
      <c r="BM123" s="804"/>
      <c r="BN123" s="804"/>
      <c r="BO123" s="810"/>
      <c r="BP123" s="810"/>
      <c r="BQ123" s="810"/>
      <c r="BR123" s="810"/>
      <c r="BS123" s="952"/>
      <c r="BT123" s="952"/>
      <c r="BU123" s="952"/>
      <c r="BV123" s="806"/>
      <c r="BW123" s="486"/>
      <c r="BX123" s="486"/>
      <c r="BY123" s="486"/>
      <c r="BZ123" s="486"/>
      <c r="CA123" s="486"/>
      <c r="CB123" s="486"/>
      <c r="CC123" s="486"/>
      <c r="CD123" s="486"/>
      <c r="CE123" s="486"/>
      <c r="CF123" s="486"/>
      <c r="CG123" s="486"/>
      <c r="CH123" s="486"/>
      <c r="CI123" s="486"/>
      <c r="CJ123" s="486"/>
      <c r="CK123" s="486"/>
      <c r="CL123" s="486"/>
      <c r="CM123" s="486"/>
      <c r="CN123" s="486"/>
      <c r="CO123" s="486"/>
      <c r="CP123" s="486"/>
      <c r="CQ123" s="486"/>
      <c r="CR123" s="486"/>
      <c r="CS123" s="486"/>
      <c r="CT123" s="486"/>
      <c r="CU123" s="486"/>
      <c r="CV123" s="486"/>
      <c r="CW123" s="486"/>
      <c r="CX123" s="486"/>
      <c r="CY123" s="486"/>
      <c r="CZ123" s="486"/>
      <c r="DA123" s="486"/>
      <c r="DB123" s="486"/>
      <c r="DC123" s="486"/>
      <c r="DD123" s="486"/>
      <c r="DE123" s="486"/>
      <c r="DF123" s="486"/>
      <c r="DG123" s="486"/>
      <c r="DH123" s="486"/>
      <c r="DI123" s="486"/>
      <c r="DJ123" s="486"/>
      <c r="DK123" s="486"/>
      <c r="DL123" s="486"/>
      <c r="DM123" s="486"/>
      <c r="DN123" s="486"/>
      <c r="DO123" s="486"/>
      <c r="DP123" s="486"/>
      <c r="DQ123" s="486"/>
      <c r="DR123" s="486"/>
      <c r="DS123" s="486"/>
      <c r="DT123" s="486"/>
      <c r="DU123" s="486"/>
      <c r="DV123" s="486"/>
      <c r="DW123" s="486"/>
      <c r="DX123" s="486"/>
      <c r="DY123" s="486"/>
      <c r="DZ123" s="486"/>
      <c r="EA123" s="486"/>
      <c r="EB123" s="486"/>
      <c r="EC123" s="486"/>
      <c r="ED123" s="486"/>
      <c r="EE123" s="486"/>
      <c r="EF123" s="486"/>
      <c r="EG123" s="486"/>
      <c r="EH123" s="486"/>
      <c r="EI123" s="486"/>
      <c r="EJ123" s="486"/>
      <c r="EK123" s="486"/>
      <c r="EL123" s="486"/>
      <c r="EM123" s="486"/>
      <c r="EN123" s="486"/>
      <c r="EO123" s="486"/>
      <c r="EP123" s="486"/>
      <c r="EQ123" s="486"/>
      <c r="ER123" s="486"/>
      <c r="ES123" s="486"/>
      <c r="ET123" s="486"/>
      <c r="EU123" s="486"/>
      <c r="EV123" s="486"/>
      <c r="EW123" s="486"/>
      <c r="EX123" s="486"/>
      <c r="EY123" s="486"/>
      <c r="EZ123" s="486"/>
      <c r="FA123" s="486"/>
      <c r="FB123" s="486"/>
      <c r="FC123" s="486"/>
      <c r="FD123" s="486"/>
      <c r="FE123" s="486"/>
      <c r="FF123" s="486"/>
      <c r="FG123" s="486"/>
      <c r="FH123" s="486"/>
    </row>
    <row r="124" spans="1:164" ht="15">
      <c r="A124" s="374"/>
      <c r="B124" s="375"/>
      <c r="C124" s="376"/>
      <c r="D124" s="377"/>
      <c r="E124" s="377"/>
      <c r="F124" s="377"/>
      <c r="G124" s="377"/>
      <c r="H124" s="377"/>
      <c r="I124" s="377"/>
      <c r="J124" s="377"/>
      <c r="K124" s="377"/>
      <c r="L124" s="378"/>
      <c r="N124" s="84"/>
      <c r="O124" s="84"/>
      <c r="P124" s="804"/>
      <c r="Q124" s="804"/>
      <c r="R124" s="811"/>
      <c r="S124" s="811"/>
      <c r="T124" s="811"/>
      <c r="U124" s="811"/>
      <c r="V124" s="811"/>
      <c r="W124" s="806"/>
      <c r="X124" s="300"/>
      <c r="Y124" s="300"/>
      <c r="Z124" s="804"/>
      <c r="AA124" s="804"/>
      <c r="AB124" s="804"/>
      <c r="AC124" s="811"/>
      <c r="AD124" s="811"/>
      <c r="AE124" s="811"/>
      <c r="AF124" s="811"/>
      <c r="AG124" s="811"/>
      <c r="AH124" s="811"/>
      <c r="AI124" s="806"/>
      <c r="AJ124" s="806"/>
      <c r="AK124" s="806"/>
      <c r="AL124" s="804"/>
      <c r="AM124" s="804"/>
      <c r="AN124" s="804"/>
      <c r="AO124" s="811"/>
      <c r="AP124" s="811"/>
      <c r="AQ124" s="811"/>
      <c r="AR124" s="811"/>
      <c r="AS124" s="811"/>
      <c r="AT124" s="811"/>
      <c r="AU124" s="811"/>
      <c r="AV124" s="806"/>
      <c r="AW124" s="806"/>
      <c r="AX124" s="806"/>
      <c r="AY124" s="804"/>
      <c r="AZ124" s="804"/>
      <c r="BA124" s="804"/>
      <c r="BB124" s="811"/>
      <c r="BC124" s="811"/>
      <c r="BD124" s="811"/>
      <c r="BE124" s="811"/>
      <c r="BF124" s="949"/>
      <c r="BG124" s="949"/>
      <c r="BH124" s="949"/>
      <c r="BI124" s="806"/>
      <c r="BJ124" s="806"/>
      <c r="BK124" s="806"/>
      <c r="BL124" s="804"/>
      <c r="BM124" s="804"/>
      <c r="BN124" s="804"/>
      <c r="BO124" s="811"/>
      <c r="BP124" s="811"/>
      <c r="BQ124" s="811"/>
      <c r="BR124" s="811"/>
      <c r="BS124" s="949"/>
      <c r="BT124" s="949"/>
      <c r="BU124" s="949"/>
      <c r="BV124" s="806"/>
      <c r="BW124" s="486"/>
      <c r="BX124" s="486"/>
      <c r="BY124" s="486"/>
      <c r="BZ124" s="486"/>
      <c r="CA124" s="486"/>
      <c r="CB124" s="486"/>
      <c r="CC124" s="486"/>
      <c r="CD124" s="486"/>
      <c r="CE124" s="486"/>
      <c r="CF124" s="486"/>
      <c r="CG124" s="486"/>
      <c r="CH124" s="486"/>
      <c r="CI124" s="486"/>
      <c r="CJ124" s="486"/>
      <c r="CK124" s="486"/>
      <c r="CL124" s="486"/>
      <c r="CM124" s="486"/>
      <c r="CN124" s="486"/>
      <c r="CO124" s="486"/>
      <c r="CP124" s="486"/>
      <c r="CQ124" s="486"/>
      <c r="CR124" s="486"/>
      <c r="CS124" s="486"/>
      <c r="CT124" s="486"/>
      <c r="CU124" s="486"/>
      <c r="CV124" s="486"/>
      <c r="CW124" s="486"/>
      <c r="CX124" s="486"/>
      <c r="CY124" s="486"/>
      <c r="CZ124" s="486"/>
      <c r="DA124" s="486"/>
      <c r="DB124" s="486"/>
      <c r="DC124" s="486"/>
      <c r="DD124" s="486"/>
      <c r="DE124" s="486"/>
      <c r="DF124" s="486"/>
      <c r="DG124" s="486"/>
      <c r="DH124" s="486"/>
      <c r="DI124" s="486"/>
      <c r="DJ124" s="486"/>
      <c r="DK124" s="486"/>
      <c r="DL124" s="486"/>
      <c r="DM124" s="486"/>
      <c r="DN124" s="486"/>
      <c r="DO124" s="486"/>
      <c r="DP124" s="486"/>
      <c r="DQ124" s="486"/>
      <c r="DR124" s="486"/>
      <c r="DS124" s="486"/>
      <c r="DT124" s="486"/>
      <c r="DU124" s="486"/>
      <c r="DV124" s="486"/>
      <c r="DW124" s="486"/>
      <c r="DX124" s="486"/>
      <c r="DY124" s="486"/>
      <c r="DZ124" s="486"/>
      <c r="EA124" s="486"/>
      <c r="EB124" s="486"/>
      <c r="EC124" s="486"/>
      <c r="ED124" s="486"/>
      <c r="EE124" s="486"/>
      <c r="EF124" s="486"/>
      <c r="EG124" s="486"/>
      <c r="EH124" s="486"/>
      <c r="EI124" s="486"/>
      <c r="EJ124" s="486"/>
      <c r="EK124" s="486"/>
      <c r="EL124" s="486"/>
      <c r="EM124" s="486"/>
      <c r="EN124" s="486"/>
      <c r="EO124" s="486"/>
      <c r="EP124" s="486"/>
      <c r="EQ124" s="486"/>
      <c r="ER124" s="486"/>
      <c r="ES124" s="486"/>
      <c r="ET124" s="486"/>
      <c r="EU124" s="486"/>
      <c r="EV124" s="486"/>
      <c r="EW124" s="486"/>
      <c r="EX124" s="486"/>
      <c r="EY124" s="486"/>
      <c r="EZ124" s="486"/>
      <c r="FA124" s="486"/>
      <c r="FB124" s="486"/>
      <c r="FC124" s="486"/>
      <c r="FD124" s="486"/>
      <c r="FE124" s="486"/>
      <c r="FF124" s="486"/>
      <c r="FG124" s="486"/>
      <c r="FH124" s="486"/>
    </row>
    <row r="125" spans="1:164" ht="18.75">
      <c r="A125" s="407"/>
      <c r="B125" s="1063" t="s">
        <v>1262</v>
      </c>
      <c r="C125" s="775"/>
      <c r="D125" s="775"/>
      <c r="E125" s="775"/>
      <c r="F125" s="775"/>
      <c r="G125" s="775"/>
      <c r="H125" s="775"/>
      <c r="I125" s="775"/>
      <c r="J125" s="1069"/>
      <c r="K125" s="379"/>
      <c r="L125" s="340"/>
      <c r="N125" s="84"/>
      <c r="O125" s="84"/>
      <c r="P125" s="804"/>
      <c r="Q125" s="804"/>
      <c r="R125" s="814"/>
      <c r="S125" s="814"/>
      <c r="T125" s="814"/>
      <c r="U125" s="814"/>
      <c r="V125" s="809"/>
      <c r="W125" s="806"/>
      <c r="X125" s="300"/>
      <c r="Y125" s="300"/>
      <c r="Z125" s="804"/>
      <c r="AA125" s="804"/>
      <c r="AB125" s="804"/>
      <c r="AC125" s="814"/>
      <c r="AD125" s="814"/>
      <c r="AE125" s="814"/>
      <c r="AF125" s="814"/>
      <c r="AG125" s="809"/>
      <c r="AH125" s="809"/>
      <c r="AI125" s="806"/>
      <c r="AJ125" s="806"/>
      <c r="AK125" s="806"/>
      <c r="AL125" s="804"/>
      <c r="AM125" s="804"/>
      <c r="AN125" s="804"/>
      <c r="AO125" s="814"/>
      <c r="AP125" s="814"/>
      <c r="AQ125" s="814"/>
      <c r="AR125" s="814"/>
      <c r="AS125" s="809"/>
      <c r="AT125" s="809"/>
      <c r="AU125" s="809"/>
      <c r="AV125" s="806"/>
      <c r="AW125" s="806"/>
      <c r="AX125" s="806"/>
      <c r="AY125" s="804"/>
      <c r="AZ125" s="804"/>
      <c r="BA125" s="804"/>
      <c r="BB125" s="814"/>
      <c r="BC125" s="814"/>
      <c r="BD125" s="814"/>
      <c r="BE125" s="814"/>
      <c r="BF125" s="948"/>
      <c r="BG125" s="948"/>
      <c r="BH125" s="948"/>
      <c r="BI125" s="806"/>
      <c r="BJ125" s="806"/>
      <c r="BK125" s="806"/>
      <c r="BL125" s="804"/>
      <c r="BM125" s="804"/>
      <c r="BN125" s="804"/>
      <c r="BO125" s="814"/>
      <c r="BP125" s="814"/>
      <c r="BQ125" s="814"/>
      <c r="BR125" s="814"/>
      <c r="BS125" s="948"/>
      <c r="BT125" s="948"/>
      <c r="BU125" s="948"/>
      <c r="BV125" s="806"/>
      <c r="BW125" s="486"/>
      <c r="BX125" s="486"/>
      <c r="BY125" s="486"/>
      <c r="BZ125" s="486"/>
      <c r="CA125" s="486"/>
      <c r="CB125" s="486"/>
      <c r="CC125" s="486"/>
      <c r="CD125" s="486"/>
      <c r="CE125" s="486"/>
      <c r="CF125" s="486"/>
      <c r="CG125" s="486"/>
      <c r="CH125" s="486"/>
      <c r="CI125" s="486"/>
      <c r="CJ125" s="486"/>
      <c r="CK125" s="486"/>
      <c r="CL125" s="486"/>
      <c r="CM125" s="486"/>
      <c r="CN125" s="486"/>
      <c r="CO125" s="486"/>
      <c r="CP125" s="486"/>
      <c r="CQ125" s="486"/>
      <c r="CR125" s="486"/>
      <c r="CS125" s="486"/>
      <c r="CT125" s="486"/>
      <c r="CU125" s="486"/>
      <c r="CV125" s="486"/>
      <c r="CW125" s="486"/>
      <c r="CX125" s="486"/>
      <c r="CY125" s="486"/>
      <c r="CZ125" s="486"/>
      <c r="DA125" s="486"/>
      <c r="DB125" s="486"/>
      <c r="DC125" s="486"/>
      <c r="DD125" s="486"/>
      <c r="DE125" s="486"/>
      <c r="DF125" s="486"/>
      <c r="DG125" s="486"/>
      <c r="DH125" s="486"/>
      <c r="DI125" s="486"/>
      <c r="DJ125" s="486"/>
      <c r="DK125" s="486"/>
      <c r="DL125" s="486"/>
      <c r="DM125" s="486"/>
      <c r="DN125" s="486"/>
      <c r="DO125" s="486"/>
      <c r="DP125" s="486"/>
      <c r="DQ125" s="486"/>
      <c r="DR125" s="486"/>
      <c r="DS125" s="486"/>
      <c r="DT125" s="486"/>
      <c r="DU125" s="486"/>
      <c r="DV125" s="486"/>
      <c r="DW125" s="486"/>
      <c r="DX125" s="486"/>
      <c r="DY125" s="486"/>
      <c r="DZ125" s="486"/>
      <c r="EA125" s="486"/>
      <c r="EB125" s="486"/>
      <c r="EC125" s="486"/>
      <c r="ED125" s="486"/>
      <c r="EE125" s="486"/>
      <c r="EF125" s="486"/>
      <c r="EG125" s="486"/>
      <c r="EH125" s="486"/>
      <c r="EI125" s="486"/>
      <c r="EJ125" s="486"/>
      <c r="EK125" s="486"/>
      <c r="EL125" s="486"/>
      <c r="EM125" s="486"/>
      <c r="EN125" s="486"/>
      <c r="EO125" s="486"/>
      <c r="EP125" s="486"/>
      <c r="EQ125" s="486"/>
      <c r="ER125" s="486"/>
      <c r="ES125" s="486"/>
      <c r="ET125" s="486"/>
      <c r="EU125" s="486"/>
      <c r="EV125" s="486"/>
      <c r="EW125" s="486"/>
      <c r="EX125" s="486"/>
      <c r="EY125" s="486"/>
      <c r="EZ125" s="486"/>
      <c r="FA125" s="486"/>
      <c r="FB125" s="486"/>
      <c r="FC125" s="486"/>
      <c r="FD125" s="486"/>
      <c r="FE125" s="486"/>
      <c r="FF125" s="486"/>
      <c r="FG125" s="486"/>
      <c r="FH125" s="486"/>
    </row>
    <row r="126" spans="1:164" ht="18.75">
      <c r="A126" s="407"/>
      <c r="B126" s="1063"/>
      <c r="C126" s="775"/>
      <c r="D126" s="775"/>
      <c r="E126" s="1070" t="s">
        <v>657</v>
      </c>
      <c r="F126" s="534" t="s">
        <v>1263</v>
      </c>
      <c r="G126" s="534" t="s">
        <v>1264</v>
      </c>
      <c r="H126" s="128" t="s">
        <v>1265</v>
      </c>
      <c r="I126" s="1071"/>
      <c r="J126" s="1069"/>
      <c r="K126" s="379"/>
      <c r="L126" s="340"/>
      <c r="N126" s="84"/>
      <c r="O126" s="84"/>
      <c r="P126" s="804"/>
      <c r="Q126" s="804"/>
      <c r="R126" s="814"/>
      <c r="S126" s="814"/>
      <c r="T126" s="814"/>
      <c r="U126" s="814"/>
      <c r="V126" s="809"/>
      <c r="W126" s="806"/>
      <c r="X126" s="300"/>
      <c r="Y126" s="300"/>
      <c r="Z126" s="804"/>
      <c r="AA126" s="804"/>
      <c r="AB126" s="804"/>
      <c r="AC126" s="814"/>
      <c r="AD126" s="814"/>
      <c r="AE126" s="814"/>
      <c r="AF126" s="814"/>
      <c r="AG126" s="809"/>
      <c r="AH126" s="809"/>
      <c r="AI126" s="806"/>
      <c r="AJ126" s="806"/>
      <c r="AK126" s="806"/>
      <c r="AL126" s="804"/>
      <c r="AM126" s="804"/>
      <c r="AN126" s="804"/>
      <c r="AO126" s="814"/>
      <c r="AP126" s="814"/>
      <c r="AQ126" s="814"/>
      <c r="AR126" s="814"/>
      <c r="AS126" s="809"/>
      <c r="AT126" s="809"/>
      <c r="AU126" s="809"/>
      <c r="AV126" s="806"/>
      <c r="AW126" s="806"/>
      <c r="AX126" s="806"/>
      <c r="AY126" s="804"/>
      <c r="AZ126" s="804"/>
      <c r="BA126" s="804"/>
      <c r="BB126" s="814"/>
      <c r="BC126" s="814"/>
      <c r="BD126" s="814"/>
      <c r="BE126" s="814"/>
      <c r="BF126" s="948"/>
      <c r="BG126" s="948"/>
      <c r="BH126" s="948"/>
      <c r="BI126" s="806"/>
      <c r="BJ126" s="806"/>
      <c r="BK126" s="806"/>
      <c r="BL126" s="804"/>
      <c r="BM126" s="804"/>
      <c r="BN126" s="804"/>
      <c r="BO126" s="814"/>
      <c r="BP126" s="814"/>
      <c r="BQ126" s="814"/>
      <c r="BR126" s="814"/>
      <c r="BS126" s="948"/>
      <c r="BT126" s="948"/>
      <c r="BU126" s="948"/>
      <c r="BV126" s="806"/>
      <c r="BW126" s="486"/>
      <c r="BX126" s="486"/>
      <c r="BY126" s="486"/>
      <c r="BZ126" s="486"/>
      <c r="CA126" s="486"/>
      <c r="CB126" s="486"/>
      <c r="CC126" s="486"/>
      <c r="CD126" s="486"/>
      <c r="CE126" s="486"/>
      <c r="CF126" s="486"/>
      <c r="CG126" s="486"/>
      <c r="CH126" s="486"/>
      <c r="CI126" s="486"/>
      <c r="CJ126" s="486"/>
      <c r="CK126" s="486"/>
      <c r="CL126" s="486"/>
      <c r="CM126" s="486"/>
      <c r="CN126" s="486"/>
      <c r="CO126" s="486"/>
      <c r="CP126" s="486"/>
      <c r="CQ126" s="486"/>
      <c r="CR126" s="486"/>
      <c r="CS126" s="486"/>
      <c r="CT126" s="486"/>
      <c r="CU126" s="486"/>
      <c r="CV126" s="486"/>
      <c r="CW126" s="486"/>
      <c r="CX126" s="486"/>
      <c r="CY126" s="486"/>
      <c r="CZ126" s="486"/>
      <c r="DA126" s="486"/>
      <c r="DB126" s="486"/>
      <c r="DC126" s="486"/>
      <c r="DD126" s="486"/>
      <c r="DE126" s="486"/>
      <c r="DF126" s="486"/>
      <c r="DG126" s="486"/>
      <c r="DH126" s="486"/>
      <c r="DI126" s="486"/>
      <c r="DJ126" s="486"/>
      <c r="DK126" s="486"/>
      <c r="DL126" s="486"/>
      <c r="DM126" s="486"/>
      <c r="DN126" s="486"/>
      <c r="DO126" s="486"/>
      <c r="DP126" s="486"/>
      <c r="DQ126" s="486"/>
      <c r="DR126" s="486"/>
      <c r="DS126" s="486"/>
      <c r="DT126" s="486"/>
      <c r="DU126" s="486"/>
      <c r="DV126" s="486"/>
      <c r="DW126" s="486"/>
      <c r="DX126" s="486"/>
      <c r="DY126" s="486"/>
      <c r="DZ126" s="486"/>
      <c r="EA126" s="486"/>
      <c r="EB126" s="486"/>
      <c r="EC126" s="486"/>
      <c r="ED126" s="486"/>
      <c r="EE126" s="486"/>
      <c r="EF126" s="486"/>
      <c r="EG126" s="486"/>
      <c r="EH126" s="486"/>
      <c r="EI126" s="486"/>
      <c r="EJ126" s="486"/>
      <c r="EK126" s="486"/>
      <c r="EL126" s="486"/>
      <c r="EM126" s="486"/>
      <c r="EN126" s="486"/>
      <c r="EO126" s="486"/>
      <c r="EP126" s="486"/>
      <c r="EQ126" s="486"/>
      <c r="ER126" s="486"/>
      <c r="ES126" s="486"/>
      <c r="ET126" s="486"/>
      <c r="EU126" s="486"/>
      <c r="EV126" s="486"/>
      <c r="EW126" s="486"/>
      <c r="EX126" s="486"/>
      <c r="EY126" s="486"/>
      <c r="EZ126" s="486"/>
      <c r="FA126" s="486"/>
      <c r="FB126" s="486"/>
      <c r="FC126" s="486"/>
      <c r="FD126" s="486"/>
      <c r="FE126" s="486"/>
      <c r="FF126" s="486"/>
      <c r="FG126" s="486"/>
      <c r="FH126" s="486"/>
    </row>
    <row r="127" spans="1:164" ht="15.75">
      <c r="A127" s="407">
        <f>A120+1</f>
        <v>161</v>
      </c>
      <c r="B127" s="404" t="s">
        <v>636</v>
      </c>
      <c r="C127" s="405" t="s">
        <v>1266</v>
      </c>
      <c r="D127" s="775"/>
      <c r="E127" s="1050">
        <f>F127+G127</f>
        <v>0</v>
      </c>
      <c r="F127" s="1064"/>
      <c r="G127" s="1072"/>
      <c r="H127" s="1305"/>
      <c r="I127" s="1306"/>
      <c r="J127" s="1307"/>
      <c r="K127" s="873"/>
      <c r="L127" s="340"/>
      <c r="N127" s="84"/>
      <c r="O127" s="84"/>
      <c r="P127" s="804"/>
      <c r="Q127" s="804"/>
      <c r="R127" s="804"/>
      <c r="S127" s="804"/>
      <c r="T127" s="804"/>
      <c r="U127" s="804"/>
      <c r="V127" s="804"/>
      <c r="W127" s="804"/>
      <c r="X127" s="300"/>
      <c r="Y127" s="315"/>
      <c r="Z127" s="804"/>
      <c r="AA127" s="804"/>
      <c r="AB127" s="804"/>
      <c r="AC127" s="804"/>
      <c r="AD127" s="804"/>
      <c r="AE127" s="804"/>
      <c r="AF127" s="804"/>
      <c r="AG127" s="804"/>
      <c r="AH127" s="804"/>
      <c r="AI127" s="804"/>
      <c r="AJ127" s="806"/>
      <c r="AK127" s="806"/>
      <c r="AL127" s="804"/>
      <c r="AM127" s="804"/>
      <c r="AN127" s="804"/>
      <c r="AO127" s="804"/>
      <c r="AP127" s="804"/>
      <c r="AQ127" s="804"/>
      <c r="AR127" s="804"/>
      <c r="AS127" s="804"/>
      <c r="AT127" s="804"/>
      <c r="AU127" s="804"/>
      <c r="AV127" s="804"/>
      <c r="AW127" s="806"/>
      <c r="AX127" s="806"/>
      <c r="AY127" s="804"/>
      <c r="AZ127" s="804"/>
      <c r="BA127" s="804"/>
      <c r="BB127" s="804"/>
      <c r="BC127" s="804"/>
      <c r="BD127" s="804"/>
      <c r="BE127" s="804"/>
      <c r="BF127" s="953"/>
      <c r="BG127" s="953"/>
      <c r="BH127" s="953"/>
      <c r="BI127" s="804"/>
      <c r="BJ127" s="806"/>
      <c r="BK127" s="806"/>
      <c r="BL127" s="804"/>
      <c r="BM127" s="804"/>
      <c r="BN127" s="804"/>
      <c r="BO127" s="804"/>
      <c r="BP127" s="804"/>
      <c r="BQ127" s="804"/>
      <c r="BR127" s="804"/>
      <c r="BS127" s="953"/>
      <c r="BT127" s="953"/>
      <c r="BU127" s="953"/>
      <c r="BV127" s="804"/>
      <c r="BW127" s="486"/>
      <c r="BX127" s="486"/>
      <c r="BY127" s="486"/>
      <c r="BZ127" s="486"/>
      <c r="CA127" s="486"/>
      <c r="CB127" s="486"/>
      <c r="CC127" s="486"/>
      <c r="CD127" s="486"/>
      <c r="CE127" s="486"/>
      <c r="CF127" s="486"/>
      <c r="CG127" s="486"/>
      <c r="CH127" s="486"/>
      <c r="CI127" s="486"/>
      <c r="CJ127" s="486"/>
      <c r="CK127" s="486"/>
      <c r="CL127" s="486"/>
      <c r="CM127" s="486"/>
      <c r="CN127" s="486"/>
      <c r="CO127" s="486"/>
      <c r="CP127" s="486"/>
      <c r="CQ127" s="486"/>
      <c r="CR127" s="486"/>
      <c r="CS127" s="486"/>
      <c r="CT127" s="486"/>
      <c r="CU127" s="486"/>
      <c r="CV127" s="486"/>
      <c r="CW127" s="486"/>
      <c r="CX127" s="486"/>
      <c r="CY127" s="486"/>
      <c r="CZ127" s="486"/>
      <c r="DA127" s="486"/>
      <c r="DB127" s="486"/>
      <c r="DC127" s="486"/>
      <c r="DD127" s="486"/>
      <c r="DE127" s="486"/>
      <c r="DF127" s="486"/>
      <c r="DG127" s="486"/>
      <c r="DH127" s="486"/>
      <c r="DI127" s="486"/>
      <c r="DJ127" s="486"/>
      <c r="DK127" s="486"/>
      <c r="DL127" s="486"/>
      <c r="DM127" s="486"/>
      <c r="DN127" s="486"/>
      <c r="DO127" s="486"/>
      <c r="DP127" s="486"/>
      <c r="DQ127" s="486"/>
      <c r="DR127" s="486"/>
      <c r="DS127" s="486"/>
      <c r="DT127" s="486"/>
      <c r="DU127" s="486"/>
      <c r="DV127" s="486"/>
      <c r="DW127" s="486"/>
      <c r="DX127" s="486"/>
      <c r="DY127" s="486"/>
      <c r="DZ127" s="486"/>
      <c r="EA127" s="486"/>
      <c r="EB127" s="486"/>
      <c r="EC127" s="486"/>
      <c r="ED127" s="486"/>
      <c r="EE127" s="486"/>
      <c r="EF127" s="486"/>
      <c r="EG127" s="486"/>
      <c r="EH127" s="486"/>
      <c r="EI127" s="486"/>
      <c r="EJ127" s="486"/>
      <c r="EK127" s="486"/>
      <c r="EL127" s="486"/>
      <c r="EM127" s="486"/>
      <c r="EN127" s="486"/>
      <c r="EO127" s="486"/>
      <c r="EP127" s="486"/>
      <c r="EQ127" s="486"/>
      <c r="ER127" s="486"/>
      <c r="ES127" s="486"/>
      <c r="ET127" s="486"/>
      <c r="EU127" s="486"/>
      <c r="EV127" s="486"/>
      <c r="EW127" s="486"/>
      <c r="EX127" s="486"/>
      <c r="EY127" s="486"/>
      <c r="EZ127" s="486"/>
      <c r="FA127" s="486"/>
      <c r="FB127" s="486"/>
      <c r="FC127" s="486"/>
      <c r="FD127" s="486"/>
      <c r="FE127" s="486"/>
      <c r="FF127" s="486"/>
      <c r="FG127" s="486"/>
      <c r="FH127" s="486"/>
    </row>
    <row r="128" spans="1:164" ht="15.75">
      <c r="A128" s="407">
        <f>A127+1</f>
        <v>162</v>
      </c>
      <c r="B128" s="404" t="s">
        <v>636</v>
      </c>
      <c r="C128" s="405" t="s">
        <v>1267</v>
      </c>
      <c r="D128" s="775"/>
      <c r="E128" s="1050">
        <f>F128+G128</f>
        <v>0</v>
      </c>
      <c r="F128" s="1064"/>
      <c r="G128" s="1065"/>
      <c r="H128" s="1305"/>
      <c r="I128" s="1306"/>
      <c r="J128" s="1307"/>
      <c r="K128" s="873"/>
      <c r="L128" s="340"/>
      <c r="N128" s="84"/>
      <c r="O128" s="84"/>
      <c r="P128" s="804"/>
      <c r="Q128" s="804"/>
      <c r="R128" s="804"/>
      <c r="S128" s="804"/>
      <c r="T128" s="804"/>
      <c r="U128" s="804"/>
      <c r="V128" s="804"/>
      <c r="W128" s="804"/>
      <c r="X128" s="300"/>
      <c r="Y128" s="315"/>
      <c r="Z128" s="804"/>
      <c r="AA128" s="804"/>
      <c r="AB128" s="804"/>
      <c r="AC128" s="804"/>
      <c r="AD128" s="804"/>
      <c r="AE128" s="804"/>
      <c r="AF128" s="804"/>
      <c r="AG128" s="804"/>
      <c r="AH128" s="804"/>
      <c r="AI128" s="804"/>
      <c r="AJ128" s="806"/>
      <c r="AK128" s="806"/>
      <c r="AL128" s="804"/>
      <c r="AM128" s="804"/>
      <c r="AN128" s="804"/>
      <c r="AO128" s="804"/>
      <c r="AP128" s="804"/>
      <c r="AQ128" s="804"/>
      <c r="AR128" s="804"/>
      <c r="AS128" s="804"/>
      <c r="AT128" s="804"/>
      <c r="AU128" s="804"/>
      <c r="AV128" s="804"/>
      <c r="AW128" s="806"/>
      <c r="AX128" s="806"/>
      <c r="AY128" s="804"/>
      <c r="AZ128" s="804"/>
      <c r="BA128" s="804"/>
      <c r="BB128" s="804"/>
      <c r="BC128" s="804"/>
      <c r="BD128" s="804"/>
      <c r="BE128" s="804"/>
      <c r="BF128" s="953"/>
      <c r="BG128" s="953"/>
      <c r="BH128" s="953"/>
      <c r="BI128" s="804"/>
      <c r="BJ128" s="806"/>
      <c r="BK128" s="806"/>
      <c r="BL128" s="804"/>
      <c r="BM128" s="804"/>
      <c r="BN128" s="804"/>
      <c r="BO128" s="804"/>
      <c r="BP128" s="804"/>
      <c r="BQ128" s="804"/>
      <c r="BR128" s="804"/>
      <c r="BS128" s="953"/>
      <c r="BT128" s="953"/>
      <c r="BU128" s="953"/>
      <c r="BV128" s="804"/>
      <c r="BW128" s="486"/>
      <c r="BX128" s="486"/>
      <c r="BY128" s="486"/>
      <c r="BZ128" s="486"/>
      <c r="CA128" s="486"/>
      <c r="CB128" s="486"/>
      <c r="CC128" s="486"/>
      <c r="CD128" s="486"/>
      <c r="CE128" s="486"/>
      <c r="CF128" s="486"/>
      <c r="CG128" s="486"/>
      <c r="CH128" s="486"/>
      <c r="CI128" s="486"/>
      <c r="CJ128" s="486"/>
      <c r="CK128" s="486"/>
      <c r="CL128" s="486"/>
      <c r="CM128" s="486"/>
      <c r="CN128" s="486"/>
      <c r="CO128" s="486"/>
      <c r="CP128" s="486"/>
      <c r="CQ128" s="486"/>
      <c r="CR128" s="486"/>
      <c r="CS128" s="486"/>
      <c r="CT128" s="486"/>
      <c r="CU128" s="486"/>
      <c r="CV128" s="486"/>
      <c r="CW128" s="486"/>
      <c r="CX128" s="486"/>
      <c r="CY128" s="486"/>
      <c r="CZ128" s="486"/>
      <c r="DA128" s="486"/>
      <c r="DB128" s="486"/>
      <c r="DC128" s="486"/>
      <c r="DD128" s="486"/>
      <c r="DE128" s="486"/>
      <c r="DF128" s="486"/>
      <c r="DG128" s="486"/>
      <c r="DH128" s="486"/>
      <c r="DI128" s="486"/>
      <c r="DJ128" s="486"/>
      <c r="DK128" s="486"/>
      <c r="DL128" s="486"/>
      <c r="DM128" s="486"/>
      <c r="DN128" s="486"/>
      <c r="DO128" s="486"/>
      <c r="DP128" s="486"/>
      <c r="DQ128" s="486"/>
      <c r="DR128" s="486"/>
      <c r="DS128" s="486"/>
      <c r="DT128" s="486"/>
      <c r="DU128" s="486"/>
      <c r="DV128" s="486"/>
      <c r="DW128" s="486"/>
      <c r="DX128" s="486"/>
      <c r="DY128" s="486"/>
      <c r="DZ128" s="486"/>
      <c r="EA128" s="486"/>
      <c r="EB128" s="486"/>
      <c r="EC128" s="486"/>
      <c r="ED128" s="486"/>
      <c r="EE128" s="486"/>
      <c r="EF128" s="486"/>
      <c r="EG128" s="486"/>
      <c r="EH128" s="486"/>
      <c r="EI128" s="486"/>
      <c r="EJ128" s="486"/>
      <c r="EK128" s="486"/>
      <c r="EL128" s="486"/>
      <c r="EM128" s="486"/>
      <c r="EN128" s="486"/>
      <c r="EO128" s="486"/>
      <c r="EP128" s="486"/>
      <c r="EQ128" s="486"/>
      <c r="ER128" s="486"/>
      <c r="ES128" s="486"/>
      <c r="ET128" s="486"/>
      <c r="EU128" s="486"/>
      <c r="EV128" s="486"/>
      <c r="EW128" s="486"/>
      <c r="EX128" s="486"/>
      <c r="EY128" s="486"/>
      <c r="EZ128" s="486"/>
      <c r="FA128" s="486"/>
      <c r="FB128" s="486"/>
      <c r="FC128" s="486"/>
      <c r="FD128" s="486"/>
      <c r="FE128" s="486"/>
      <c r="FF128" s="486"/>
      <c r="FG128" s="486"/>
      <c r="FH128" s="486"/>
    </row>
    <row r="129" spans="1:164" ht="15.75">
      <c r="A129" s="407">
        <f>A128+1</f>
        <v>163</v>
      </c>
      <c r="B129" s="404" t="s">
        <v>636</v>
      </c>
      <c r="C129" s="214" t="s">
        <v>1268</v>
      </c>
      <c r="D129" s="404"/>
      <c r="E129" s="1050">
        <f>E127+E128</f>
        <v>0</v>
      </c>
      <c r="F129" s="1050">
        <f>F127+F128</f>
        <v>0</v>
      </c>
      <c r="G129" s="1050">
        <f>G127+G128</f>
        <v>0</v>
      </c>
      <c r="H129" s="775"/>
      <c r="I129" s="1073"/>
      <c r="J129" s="1073"/>
      <c r="K129" s="380"/>
      <c r="L129" s="340"/>
      <c r="N129" s="84"/>
      <c r="O129" s="84"/>
      <c r="P129" s="804"/>
      <c r="Q129" s="804"/>
      <c r="R129" s="804"/>
      <c r="S129" s="804"/>
      <c r="T129" s="804"/>
      <c r="U129" s="804"/>
      <c r="V129" s="804"/>
      <c r="W129" s="804"/>
      <c r="X129" s="300"/>
      <c r="Y129" s="315"/>
      <c r="Z129" s="804"/>
      <c r="AA129" s="804"/>
      <c r="AB129" s="804"/>
      <c r="AC129" s="804"/>
      <c r="AD129" s="804"/>
      <c r="AE129" s="804"/>
      <c r="AF129" s="804"/>
      <c r="AG129" s="804"/>
      <c r="AH129" s="804"/>
      <c r="AI129" s="804"/>
      <c r="AJ129" s="806"/>
      <c r="AK129" s="806"/>
      <c r="AL129" s="804"/>
      <c r="AM129" s="804"/>
      <c r="AN129" s="804"/>
      <c r="AO129" s="804"/>
      <c r="AP129" s="804"/>
      <c r="AQ129" s="804"/>
      <c r="AR129" s="804"/>
      <c r="AS129" s="804"/>
      <c r="AT129" s="804"/>
      <c r="AU129" s="804"/>
      <c r="AV129" s="804"/>
      <c r="AW129" s="806"/>
      <c r="AX129" s="806"/>
      <c r="AY129" s="804"/>
      <c r="AZ129" s="804"/>
      <c r="BA129" s="804"/>
      <c r="BB129" s="804"/>
      <c r="BC129" s="804"/>
      <c r="BD129" s="804"/>
      <c r="BE129" s="804"/>
      <c r="BF129" s="953"/>
      <c r="BG129" s="953"/>
      <c r="BH129" s="953"/>
      <c r="BI129" s="804"/>
      <c r="BJ129" s="806"/>
      <c r="BK129" s="806"/>
      <c r="BL129" s="804"/>
      <c r="BM129" s="804"/>
      <c r="BN129" s="804"/>
      <c r="BO129" s="804"/>
      <c r="BP129" s="804"/>
      <c r="BQ129" s="804"/>
      <c r="BR129" s="804"/>
      <c r="BS129" s="953"/>
      <c r="BT129" s="953"/>
      <c r="BU129" s="953"/>
      <c r="BV129" s="804"/>
      <c r="BW129" s="486"/>
      <c r="BX129" s="486"/>
      <c r="BY129" s="486"/>
      <c r="BZ129" s="486"/>
      <c r="CA129" s="486"/>
      <c r="CB129" s="486"/>
      <c r="CC129" s="486"/>
      <c r="CD129" s="486"/>
      <c r="CE129" s="486"/>
      <c r="CF129" s="486"/>
      <c r="CG129" s="486"/>
      <c r="CH129" s="486"/>
      <c r="CI129" s="486"/>
      <c r="CJ129" s="486"/>
      <c r="CK129" s="486"/>
      <c r="CL129" s="486"/>
      <c r="CM129" s="486"/>
      <c r="CN129" s="486"/>
      <c r="CO129" s="486"/>
      <c r="CP129" s="486"/>
      <c r="CQ129" s="486"/>
      <c r="CR129" s="486"/>
      <c r="CS129" s="486"/>
      <c r="CT129" s="486"/>
      <c r="CU129" s="486"/>
      <c r="CV129" s="486"/>
      <c r="CW129" s="486"/>
      <c r="CX129" s="486"/>
      <c r="CY129" s="486"/>
      <c r="CZ129" s="486"/>
      <c r="DA129" s="486"/>
      <c r="DB129" s="486"/>
      <c r="DC129" s="486"/>
      <c r="DD129" s="486"/>
      <c r="DE129" s="486"/>
      <c r="DF129" s="486"/>
      <c r="DG129" s="486"/>
      <c r="DH129" s="486"/>
      <c r="DI129" s="486"/>
      <c r="DJ129" s="486"/>
      <c r="DK129" s="486"/>
      <c r="DL129" s="486"/>
      <c r="DM129" s="486"/>
      <c r="DN129" s="486"/>
      <c r="DO129" s="486"/>
      <c r="DP129" s="486"/>
      <c r="DQ129" s="486"/>
      <c r="DR129" s="486"/>
      <c r="DS129" s="486"/>
      <c r="DT129" s="486"/>
      <c r="DU129" s="486"/>
      <c r="DV129" s="486"/>
      <c r="DW129" s="486"/>
      <c r="DX129" s="486"/>
      <c r="DY129" s="486"/>
      <c r="DZ129" s="486"/>
      <c r="EA129" s="486"/>
      <c r="EB129" s="486"/>
      <c r="EC129" s="486"/>
      <c r="ED129" s="486"/>
      <c r="EE129" s="486"/>
      <c r="EF129" s="486"/>
      <c r="EG129" s="486"/>
      <c r="EH129" s="486"/>
      <c r="EI129" s="486"/>
      <c r="EJ129" s="486"/>
      <c r="EK129" s="486"/>
      <c r="EL129" s="486"/>
      <c r="EM129" s="486"/>
      <c r="EN129" s="486"/>
      <c r="EO129" s="486"/>
      <c r="EP129" s="486"/>
      <c r="EQ129" s="486"/>
      <c r="ER129" s="486"/>
      <c r="ES129" s="486"/>
      <c r="ET129" s="486"/>
      <c r="EU129" s="486"/>
      <c r="EV129" s="486"/>
      <c r="EW129" s="486"/>
      <c r="EX129" s="486"/>
      <c r="EY129" s="486"/>
      <c r="EZ129" s="486"/>
      <c r="FA129" s="486"/>
      <c r="FB129" s="486"/>
      <c r="FC129" s="486"/>
      <c r="FD129" s="486"/>
      <c r="FE129" s="486"/>
      <c r="FF129" s="486"/>
      <c r="FG129" s="486"/>
      <c r="FH129" s="486"/>
    </row>
    <row r="130" spans="1:164" ht="15">
      <c r="A130" s="407"/>
      <c r="B130" s="404"/>
      <c r="C130" s="775"/>
      <c r="D130" s="775"/>
      <c r="E130" s="1054"/>
      <c r="F130" s="1054"/>
      <c r="G130" s="1054"/>
      <c r="H130" s="775"/>
      <c r="I130" s="775"/>
      <c r="J130" s="1074"/>
      <c r="K130" s="346"/>
      <c r="L130" s="335"/>
      <c r="N130" s="84"/>
      <c r="O130" s="84"/>
      <c r="P130" s="804"/>
      <c r="Q130" s="804"/>
      <c r="R130" s="804"/>
      <c r="S130" s="804"/>
      <c r="T130" s="804"/>
      <c r="U130" s="804"/>
      <c r="V130" s="804"/>
      <c r="W130" s="804"/>
      <c r="X130" s="300"/>
      <c r="Y130" s="315"/>
      <c r="Z130" s="804"/>
      <c r="AA130" s="804"/>
      <c r="AB130" s="804"/>
      <c r="AC130" s="804"/>
      <c r="AD130" s="804"/>
      <c r="AE130" s="804"/>
      <c r="AF130" s="804"/>
      <c r="AG130" s="804"/>
      <c r="AH130" s="804"/>
      <c r="AI130" s="804"/>
      <c r="AJ130" s="806"/>
      <c r="AK130" s="806"/>
      <c r="AL130" s="804"/>
      <c r="AM130" s="804"/>
      <c r="AN130" s="804"/>
      <c r="AO130" s="804"/>
      <c r="AP130" s="804"/>
      <c r="AQ130" s="804"/>
      <c r="AR130" s="804"/>
      <c r="AS130" s="804"/>
      <c r="AT130" s="804"/>
      <c r="AU130" s="804"/>
      <c r="AV130" s="804"/>
      <c r="AW130" s="806"/>
      <c r="AX130" s="806"/>
      <c r="AY130" s="804"/>
      <c r="AZ130" s="804"/>
      <c r="BA130" s="804"/>
      <c r="BB130" s="804"/>
      <c r="BC130" s="804"/>
      <c r="BD130" s="804"/>
      <c r="BE130" s="804"/>
      <c r="BF130" s="953"/>
      <c r="BG130" s="953"/>
      <c r="BH130" s="953"/>
      <c r="BI130" s="804"/>
      <c r="BJ130" s="806"/>
      <c r="BK130" s="806"/>
      <c r="BL130" s="804"/>
      <c r="BM130" s="804"/>
      <c r="BN130" s="804"/>
      <c r="BO130" s="804"/>
      <c r="BP130" s="804"/>
      <c r="BQ130" s="804"/>
      <c r="BR130" s="804"/>
      <c r="BS130" s="953"/>
      <c r="BT130" s="953"/>
      <c r="BU130" s="953"/>
      <c r="BV130" s="804"/>
      <c r="BW130" s="486"/>
      <c r="BX130" s="486"/>
      <c r="BY130" s="486"/>
      <c r="BZ130" s="486"/>
      <c r="CA130" s="486"/>
      <c r="CB130" s="486"/>
      <c r="CC130" s="486"/>
      <c r="CD130" s="486"/>
      <c r="CE130" s="486"/>
      <c r="CF130" s="486"/>
      <c r="CG130" s="486"/>
      <c r="CH130" s="486"/>
      <c r="CI130" s="486"/>
      <c r="CJ130" s="486"/>
      <c r="CK130" s="486"/>
      <c r="CL130" s="486"/>
      <c r="CM130" s="486"/>
      <c r="CN130" s="486"/>
      <c r="CO130" s="486"/>
      <c r="CP130" s="486"/>
      <c r="CQ130" s="486"/>
      <c r="CR130" s="486"/>
      <c r="CS130" s="486"/>
      <c r="CT130" s="486"/>
      <c r="CU130" s="486"/>
      <c r="CV130" s="486"/>
      <c r="CW130" s="486"/>
      <c r="CX130" s="486"/>
      <c r="CY130" s="486"/>
      <c r="CZ130" s="486"/>
      <c r="DA130" s="486"/>
      <c r="DB130" s="486"/>
      <c r="DC130" s="486"/>
      <c r="DD130" s="486"/>
      <c r="DE130" s="486"/>
      <c r="DF130" s="486"/>
      <c r="DG130" s="486"/>
      <c r="DH130" s="486"/>
      <c r="DI130" s="486"/>
      <c r="DJ130" s="486"/>
      <c r="DK130" s="486"/>
      <c r="DL130" s="486"/>
      <c r="DM130" s="486"/>
      <c r="DN130" s="486"/>
      <c r="DO130" s="486"/>
      <c r="DP130" s="486"/>
      <c r="DQ130" s="486"/>
      <c r="DR130" s="486"/>
      <c r="DS130" s="486"/>
      <c r="DT130" s="486"/>
      <c r="DU130" s="486"/>
      <c r="DV130" s="486"/>
      <c r="DW130" s="486"/>
      <c r="DX130" s="486"/>
      <c r="DY130" s="486"/>
      <c r="DZ130" s="486"/>
      <c r="EA130" s="486"/>
      <c r="EB130" s="486"/>
      <c r="EC130" s="486"/>
      <c r="ED130" s="486"/>
      <c r="EE130" s="486"/>
      <c r="EF130" s="486"/>
      <c r="EG130" s="486"/>
      <c r="EH130" s="486"/>
      <c r="EI130" s="486"/>
      <c r="EJ130" s="486"/>
      <c r="EK130" s="486"/>
      <c r="EL130" s="486"/>
      <c r="EM130" s="486"/>
      <c r="EN130" s="486"/>
      <c r="EO130" s="486"/>
      <c r="EP130" s="486"/>
      <c r="EQ130" s="486"/>
      <c r="ER130" s="486"/>
      <c r="ES130" s="486"/>
      <c r="ET130" s="486"/>
      <c r="EU130" s="486"/>
      <c r="EV130" s="486"/>
      <c r="EW130" s="486"/>
      <c r="EX130" s="486"/>
      <c r="EY130" s="486"/>
      <c r="EZ130" s="486"/>
      <c r="FA130" s="486"/>
      <c r="FB130" s="486"/>
      <c r="FC130" s="486"/>
      <c r="FD130" s="486"/>
      <c r="FE130" s="486"/>
      <c r="FF130" s="486"/>
      <c r="FG130" s="486"/>
      <c r="FH130" s="486"/>
    </row>
    <row r="131" spans="1:164" ht="15.75">
      <c r="A131" s="407">
        <f>A129+1</f>
        <v>164</v>
      </c>
      <c r="B131" s="404" t="s">
        <v>636</v>
      </c>
      <c r="C131" s="405" t="s">
        <v>1269</v>
      </c>
      <c r="D131" s="775"/>
      <c r="E131" s="1050">
        <f>F118</f>
        <v>0</v>
      </c>
      <c r="F131" s="1050">
        <f>E131-G131</f>
        <v>0</v>
      </c>
      <c r="G131" s="1072"/>
      <c r="H131" s="1298" t="s">
        <v>250</v>
      </c>
      <c r="I131" s="1308"/>
      <c r="J131" s="1309"/>
      <c r="K131" s="875"/>
      <c r="L131" s="335"/>
      <c r="N131" s="84"/>
      <c r="O131" s="84"/>
      <c r="P131" s="804"/>
      <c r="Q131" s="804"/>
      <c r="R131" s="804"/>
      <c r="S131" s="804"/>
      <c r="T131" s="804"/>
      <c r="U131" s="804"/>
      <c r="V131" s="804"/>
      <c r="W131" s="804"/>
      <c r="X131" s="300"/>
      <c r="Y131" s="315"/>
      <c r="Z131" s="804"/>
      <c r="AA131" s="804"/>
      <c r="AB131" s="804"/>
      <c r="AC131" s="804"/>
      <c r="AD131" s="804"/>
      <c r="AE131" s="804"/>
      <c r="AF131" s="804"/>
      <c r="AG131" s="804"/>
      <c r="AH131" s="804"/>
      <c r="AI131" s="804"/>
      <c r="AJ131" s="806"/>
      <c r="AK131" s="806"/>
      <c r="AL131" s="804"/>
      <c r="AM131" s="804"/>
      <c r="AN131" s="804"/>
      <c r="AO131" s="804"/>
      <c r="AP131" s="804"/>
      <c r="AQ131" s="804"/>
      <c r="AR131" s="804"/>
      <c r="AS131" s="804"/>
      <c r="AT131" s="804"/>
      <c r="AU131" s="804"/>
      <c r="AV131" s="804"/>
      <c r="AW131" s="806"/>
      <c r="AX131" s="806"/>
      <c r="AY131" s="804"/>
      <c r="AZ131" s="804"/>
      <c r="BA131" s="804"/>
      <c r="BB131" s="804"/>
      <c r="BC131" s="804"/>
      <c r="BD131" s="804"/>
      <c r="BE131" s="804"/>
      <c r="BF131" s="953"/>
      <c r="BG131" s="953"/>
      <c r="BH131" s="953"/>
      <c r="BI131" s="804"/>
      <c r="BJ131" s="806"/>
      <c r="BK131" s="806"/>
      <c r="BL131" s="804"/>
      <c r="BM131" s="804"/>
      <c r="BN131" s="804"/>
      <c r="BO131" s="804"/>
      <c r="BP131" s="804"/>
      <c r="BQ131" s="804"/>
      <c r="BR131" s="804"/>
      <c r="BS131" s="953"/>
      <c r="BT131" s="953"/>
      <c r="BU131" s="953"/>
      <c r="BV131" s="804"/>
      <c r="BW131" s="486"/>
      <c r="BX131" s="486"/>
      <c r="BY131" s="486"/>
      <c r="BZ131" s="486"/>
      <c r="CA131" s="486"/>
      <c r="CB131" s="486"/>
      <c r="CC131" s="486"/>
      <c r="CD131" s="486"/>
      <c r="CE131" s="486"/>
      <c r="CF131" s="486"/>
      <c r="CG131" s="486"/>
      <c r="CH131" s="486"/>
      <c r="CI131" s="486"/>
      <c r="CJ131" s="486"/>
      <c r="CK131" s="486"/>
      <c r="CL131" s="486"/>
      <c r="CM131" s="486"/>
      <c r="CN131" s="486"/>
      <c r="CO131" s="486"/>
      <c r="CP131" s="486"/>
      <c r="CQ131" s="486"/>
      <c r="CR131" s="486"/>
      <c r="CS131" s="486"/>
      <c r="CT131" s="486"/>
      <c r="CU131" s="486"/>
      <c r="CV131" s="486"/>
      <c r="CW131" s="486"/>
      <c r="CX131" s="486"/>
      <c r="CY131" s="486"/>
      <c r="CZ131" s="486"/>
      <c r="DA131" s="486"/>
      <c r="DB131" s="486"/>
      <c r="DC131" s="486"/>
      <c r="DD131" s="486"/>
      <c r="DE131" s="486"/>
      <c r="DF131" s="486"/>
      <c r="DG131" s="486"/>
      <c r="DH131" s="486"/>
      <c r="DI131" s="486"/>
      <c r="DJ131" s="486"/>
      <c r="DK131" s="486"/>
      <c r="DL131" s="486"/>
      <c r="DM131" s="486"/>
      <c r="DN131" s="486"/>
      <c r="DO131" s="486"/>
      <c r="DP131" s="486"/>
      <c r="DQ131" s="486"/>
      <c r="DR131" s="486"/>
      <c r="DS131" s="486"/>
      <c r="DT131" s="486"/>
      <c r="DU131" s="486"/>
      <c r="DV131" s="486"/>
      <c r="DW131" s="486"/>
      <c r="DX131" s="486"/>
      <c r="DY131" s="486"/>
      <c r="DZ131" s="486"/>
      <c r="EA131" s="486"/>
      <c r="EB131" s="486"/>
      <c r="EC131" s="486"/>
      <c r="ED131" s="486"/>
      <c r="EE131" s="486"/>
      <c r="EF131" s="486"/>
      <c r="EG131" s="486"/>
      <c r="EH131" s="486"/>
      <c r="EI131" s="486"/>
      <c r="EJ131" s="486"/>
      <c r="EK131" s="486"/>
      <c r="EL131" s="486"/>
      <c r="EM131" s="486"/>
      <c r="EN131" s="486"/>
      <c r="EO131" s="486"/>
      <c r="EP131" s="486"/>
      <c r="EQ131" s="486"/>
      <c r="ER131" s="486"/>
      <c r="ES131" s="486"/>
      <c r="ET131" s="486"/>
      <c r="EU131" s="486"/>
      <c r="EV131" s="486"/>
      <c r="EW131" s="486"/>
      <c r="EX131" s="486"/>
      <c r="EY131" s="486"/>
      <c r="EZ131" s="486"/>
      <c r="FA131" s="486"/>
      <c r="FB131" s="486"/>
      <c r="FC131" s="486"/>
      <c r="FD131" s="486"/>
      <c r="FE131" s="486"/>
      <c r="FF131" s="486"/>
      <c r="FG131" s="486"/>
      <c r="FH131" s="486"/>
    </row>
    <row r="132" spans="1:164" ht="15.75">
      <c r="A132" s="407">
        <f>A131+1</f>
        <v>165</v>
      </c>
      <c r="B132" s="404" t="s">
        <v>636</v>
      </c>
      <c r="C132" s="405" t="s">
        <v>1270</v>
      </c>
      <c r="D132" s="405"/>
      <c r="E132" s="1050">
        <f>F132+G132</f>
        <v>0</v>
      </c>
      <c r="F132" s="1064">
        <f>F131*0.05</f>
        <v>0</v>
      </c>
      <c r="G132" s="1065"/>
      <c r="H132" s="1075" t="str">
        <f>IF(E131&lt;=0,"0%",E132/E131)</f>
        <v>0%</v>
      </c>
      <c r="I132" s="1076" t="s">
        <v>1272</v>
      </c>
      <c r="J132" s="1077"/>
      <c r="K132" s="346"/>
      <c r="L132" s="335"/>
      <c r="N132" s="84"/>
      <c r="O132" s="84"/>
      <c r="P132" s="804"/>
      <c r="Q132" s="804"/>
      <c r="R132" s="804"/>
      <c r="S132" s="804"/>
      <c r="T132" s="804"/>
      <c r="U132" s="804"/>
      <c r="V132" s="804"/>
      <c r="W132" s="804"/>
      <c r="X132" s="300"/>
      <c r="Y132" s="315"/>
      <c r="Z132" s="804"/>
      <c r="AA132" s="804"/>
      <c r="AB132" s="804"/>
      <c r="AC132" s="804"/>
      <c r="AD132" s="804"/>
      <c r="AE132" s="804"/>
      <c r="AF132" s="804"/>
      <c r="AG132" s="804"/>
      <c r="AH132" s="804"/>
      <c r="AI132" s="804"/>
      <c r="AJ132" s="806"/>
      <c r="AK132" s="806"/>
      <c r="AL132" s="804"/>
      <c r="AM132" s="804"/>
      <c r="AN132" s="804"/>
      <c r="AO132" s="804"/>
      <c r="AP132" s="804"/>
      <c r="AQ132" s="804"/>
      <c r="AR132" s="804"/>
      <c r="AS132" s="804"/>
      <c r="AT132" s="804"/>
      <c r="AU132" s="804"/>
      <c r="AV132" s="804"/>
      <c r="AW132" s="806"/>
      <c r="AX132" s="806"/>
      <c r="AY132" s="804"/>
      <c r="AZ132" s="804"/>
      <c r="BA132" s="804"/>
      <c r="BB132" s="804"/>
      <c r="BC132" s="804"/>
      <c r="BD132" s="804"/>
      <c r="BE132" s="804"/>
      <c r="BF132" s="953"/>
      <c r="BG132" s="953"/>
      <c r="BH132" s="953"/>
      <c r="BI132" s="804"/>
      <c r="BJ132" s="806"/>
      <c r="BK132" s="806"/>
      <c r="BL132" s="804"/>
      <c r="BM132" s="804"/>
      <c r="BN132" s="804"/>
      <c r="BO132" s="804"/>
      <c r="BP132" s="804"/>
      <c r="BQ132" s="804"/>
      <c r="BR132" s="804"/>
      <c r="BS132" s="953"/>
      <c r="BT132" s="953"/>
      <c r="BU132" s="953"/>
      <c r="BV132" s="804"/>
      <c r="BW132" s="486"/>
      <c r="BX132" s="486"/>
      <c r="BY132" s="486"/>
      <c r="BZ132" s="486"/>
      <c r="CA132" s="486"/>
      <c r="CB132" s="486"/>
      <c r="CC132" s="486"/>
      <c r="CD132" s="486"/>
      <c r="CE132" s="486"/>
      <c r="CF132" s="486"/>
      <c r="CG132" s="486"/>
      <c r="CH132" s="486"/>
      <c r="CI132" s="486"/>
      <c r="CJ132" s="486"/>
      <c r="CK132" s="486"/>
      <c r="CL132" s="486"/>
      <c r="CM132" s="486"/>
      <c r="CN132" s="486"/>
      <c r="CO132" s="486"/>
      <c r="CP132" s="486"/>
      <c r="CQ132" s="486"/>
      <c r="CR132" s="486"/>
      <c r="CS132" s="486"/>
      <c r="CT132" s="486"/>
      <c r="CU132" s="486"/>
      <c r="CV132" s="486"/>
      <c r="CW132" s="486"/>
      <c r="CX132" s="486"/>
      <c r="CY132" s="486"/>
      <c r="CZ132" s="486"/>
      <c r="DA132" s="486"/>
      <c r="DB132" s="486"/>
      <c r="DC132" s="486"/>
      <c r="DD132" s="486"/>
      <c r="DE132" s="486"/>
      <c r="DF132" s="486"/>
      <c r="DG132" s="486"/>
      <c r="DH132" s="486"/>
      <c r="DI132" s="486"/>
      <c r="DJ132" s="486"/>
      <c r="DK132" s="486"/>
      <c r="DL132" s="486"/>
      <c r="DM132" s="486"/>
      <c r="DN132" s="486"/>
      <c r="DO132" s="486"/>
      <c r="DP132" s="486"/>
      <c r="DQ132" s="486"/>
      <c r="DR132" s="486"/>
      <c r="DS132" s="486"/>
      <c r="DT132" s="486"/>
      <c r="DU132" s="486"/>
      <c r="DV132" s="486"/>
      <c r="DW132" s="486"/>
      <c r="DX132" s="486"/>
      <c r="DY132" s="486"/>
      <c r="DZ132" s="486"/>
      <c r="EA132" s="486"/>
      <c r="EB132" s="486"/>
      <c r="EC132" s="486"/>
      <c r="ED132" s="486"/>
      <c r="EE132" s="486"/>
      <c r="EF132" s="486"/>
      <c r="EG132" s="486"/>
      <c r="EH132" s="486"/>
      <c r="EI132" s="486"/>
      <c r="EJ132" s="486"/>
      <c r="EK132" s="486"/>
      <c r="EL132" s="486"/>
      <c r="EM132" s="486"/>
      <c r="EN132" s="486"/>
      <c r="EO132" s="486"/>
      <c r="EP132" s="486"/>
      <c r="EQ132" s="486"/>
      <c r="ER132" s="486"/>
      <c r="ES132" s="486"/>
      <c r="ET132" s="486"/>
      <c r="EU132" s="486"/>
      <c r="EV132" s="486"/>
      <c r="EW132" s="486"/>
      <c r="EX132" s="486"/>
      <c r="EY132" s="486"/>
      <c r="EZ132" s="486"/>
      <c r="FA132" s="486"/>
      <c r="FB132" s="486"/>
      <c r="FC132" s="486"/>
      <c r="FD132" s="486"/>
      <c r="FE132" s="486"/>
      <c r="FF132" s="486"/>
      <c r="FG132" s="486"/>
      <c r="FH132" s="486"/>
    </row>
    <row r="133" spans="1:164" ht="15.75">
      <c r="A133" s="407">
        <f>A132+1</f>
        <v>166</v>
      </c>
      <c r="B133" s="404" t="s">
        <v>636</v>
      </c>
      <c r="C133" s="214" t="s">
        <v>1273</v>
      </c>
      <c r="D133" s="405"/>
      <c r="E133" s="1050">
        <f>E131+E132</f>
        <v>0</v>
      </c>
      <c r="F133" s="1050">
        <f>F131+F132</f>
        <v>0</v>
      </c>
      <c r="G133" s="1050">
        <f>G131+G132</f>
        <v>0</v>
      </c>
      <c r="H133" s="404"/>
      <c r="I133" s="404"/>
      <c r="J133" s="404"/>
      <c r="K133" s="222"/>
      <c r="L133" s="335"/>
      <c r="N133" s="84"/>
      <c r="O133" s="84"/>
      <c r="P133" s="804"/>
      <c r="Q133" s="804"/>
      <c r="R133" s="804"/>
      <c r="S133" s="804"/>
      <c r="T133" s="804"/>
      <c r="U133" s="804"/>
      <c r="V133" s="804"/>
      <c r="W133" s="804"/>
      <c r="X133" s="300"/>
      <c r="Y133" s="315"/>
      <c r="Z133" s="804"/>
      <c r="AA133" s="804"/>
      <c r="AB133" s="804"/>
      <c r="AC133" s="804"/>
      <c r="AD133" s="804"/>
      <c r="AE133" s="804"/>
      <c r="AF133" s="804"/>
      <c r="AG133" s="804"/>
      <c r="AH133" s="804"/>
      <c r="AI133" s="804"/>
      <c r="AJ133" s="806"/>
      <c r="AK133" s="806"/>
      <c r="AL133" s="804"/>
      <c r="AM133" s="804"/>
      <c r="AN133" s="804"/>
      <c r="AO133" s="804"/>
      <c r="AP133" s="804"/>
      <c r="AQ133" s="804"/>
      <c r="AR133" s="804"/>
      <c r="AS133" s="804"/>
      <c r="AT133" s="804"/>
      <c r="AU133" s="804"/>
      <c r="AV133" s="804"/>
      <c r="AW133" s="806"/>
      <c r="AX133" s="806"/>
      <c r="AY133" s="804"/>
      <c r="AZ133" s="804"/>
      <c r="BA133" s="804"/>
      <c r="BB133" s="804"/>
      <c r="BC133" s="804"/>
      <c r="BD133" s="804"/>
      <c r="BE133" s="804"/>
      <c r="BF133" s="953"/>
      <c r="BG133" s="953"/>
      <c r="BH133" s="953"/>
      <c r="BI133" s="804"/>
      <c r="BJ133" s="806"/>
      <c r="BK133" s="806"/>
      <c r="BL133" s="804"/>
      <c r="BM133" s="804"/>
      <c r="BN133" s="804"/>
      <c r="BO133" s="804"/>
      <c r="BP133" s="804"/>
      <c r="BQ133" s="804"/>
      <c r="BR133" s="804"/>
      <c r="BS133" s="953"/>
      <c r="BT133" s="953"/>
      <c r="BU133" s="953"/>
      <c r="BV133" s="804"/>
      <c r="BW133" s="486"/>
      <c r="BX133" s="486"/>
      <c r="BY133" s="486"/>
      <c r="BZ133" s="486"/>
      <c r="CA133" s="486"/>
      <c r="CB133" s="486"/>
      <c r="CC133" s="486"/>
      <c r="CD133" s="486"/>
      <c r="CE133" s="486"/>
      <c r="CF133" s="486"/>
      <c r="CG133" s="486"/>
      <c r="CH133" s="486"/>
      <c r="CI133" s="486"/>
      <c r="CJ133" s="486"/>
      <c r="CK133" s="486"/>
      <c r="CL133" s="486"/>
      <c r="CM133" s="486"/>
      <c r="CN133" s="486"/>
      <c r="CO133" s="486"/>
      <c r="CP133" s="486"/>
      <c r="CQ133" s="486"/>
      <c r="CR133" s="486"/>
      <c r="CS133" s="486"/>
      <c r="CT133" s="486"/>
      <c r="CU133" s="486"/>
      <c r="CV133" s="486"/>
      <c r="CW133" s="486"/>
      <c r="CX133" s="486"/>
      <c r="CY133" s="486"/>
      <c r="CZ133" s="486"/>
      <c r="DA133" s="486"/>
      <c r="DB133" s="486"/>
      <c r="DC133" s="486"/>
      <c r="DD133" s="486"/>
      <c r="DE133" s="486"/>
      <c r="DF133" s="486"/>
      <c r="DG133" s="486"/>
      <c r="DH133" s="486"/>
      <c r="DI133" s="486"/>
      <c r="DJ133" s="486"/>
      <c r="DK133" s="486"/>
      <c r="DL133" s="486"/>
      <c r="DM133" s="486"/>
      <c r="DN133" s="486"/>
      <c r="DO133" s="486"/>
      <c r="DP133" s="486"/>
      <c r="DQ133" s="486"/>
      <c r="DR133" s="486"/>
      <c r="DS133" s="486"/>
      <c r="DT133" s="486"/>
      <c r="DU133" s="486"/>
      <c r="DV133" s="486"/>
      <c r="DW133" s="486"/>
      <c r="DX133" s="486"/>
      <c r="DY133" s="486"/>
      <c r="DZ133" s="486"/>
      <c r="EA133" s="486"/>
      <c r="EB133" s="486"/>
      <c r="EC133" s="486"/>
      <c r="ED133" s="486"/>
      <c r="EE133" s="486"/>
      <c r="EF133" s="486"/>
      <c r="EG133" s="486"/>
      <c r="EH133" s="486"/>
      <c r="EI133" s="486"/>
      <c r="EJ133" s="486"/>
      <c r="EK133" s="486"/>
      <c r="EL133" s="486"/>
      <c r="EM133" s="486"/>
      <c r="EN133" s="486"/>
      <c r="EO133" s="486"/>
      <c r="EP133" s="486"/>
      <c r="EQ133" s="486"/>
      <c r="ER133" s="486"/>
      <c r="ES133" s="486"/>
      <c r="ET133" s="486"/>
      <c r="EU133" s="486"/>
      <c r="EV133" s="486"/>
      <c r="EW133" s="486"/>
      <c r="EX133" s="486"/>
      <c r="EY133" s="486"/>
      <c r="EZ133" s="486"/>
      <c r="FA133" s="486"/>
      <c r="FB133" s="486"/>
      <c r="FC133" s="486"/>
      <c r="FD133" s="486"/>
      <c r="FE133" s="486"/>
      <c r="FF133" s="486"/>
      <c r="FG133" s="486"/>
      <c r="FH133" s="486"/>
    </row>
    <row r="134" spans="1:164" ht="15">
      <c r="A134" s="407"/>
      <c r="B134" s="404"/>
      <c r="C134" s="775"/>
      <c r="D134" s="775"/>
      <c r="E134" s="775"/>
      <c r="F134" s="775"/>
      <c r="G134" s="775"/>
      <c r="H134" s="775"/>
      <c r="I134" s="775"/>
      <c r="J134" s="775"/>
      <c r="K134" s="250"/>
      <c r="L134" s="335"/>
      <c r="N134" s="84"/>
      <c r="O134" s="84"/>
      <c r="P134" s="804"/>
      <c r="Q134" s="804"/>
      <c r="R134" s="804"/>
      <c r="S134" s="804"/>
      <c r="T134" s="804"/>
      <c r="U134" s="804"/>
      <c r="V134" s="804"/>
      <c r="W134" s="804"/>
      <c r="X134" s="300"/>
      <c r="Y134" s="315"/>
      <c r="Z134" s="804"/>
      <c r="AA134" s="804"/>
      <c r="AB134" s="804"/>
      <c r="AC134" s="804"/>
      <c r="AD134" s="804"/>
      <c r="AE134" s="804"/>
      <c r="AF134" s="804"/>
      <c r="AG134" s="804"/>
      <c r="AH134" s="804"/>
      <c r="AI134" s="804"/>
      <c r="AJ134" s="806"/>
      <c r="AK134" s="806"/>
      <c r="AL134" s="804"/>
      <c r="AM134" s="804"/>
      <c r="AN134" s="804"/>
      <c r="AO134" s="804"/>
      <c r="AP134" s="804"/>
      <c r="AQ134" s="804"/>
      <c r="AR134" s="804"/>
      <c r="AS134" s="804"/>
      <c r="AT134" s="804"/>
      <c r="AU134" s="804"/>
      <c r="AV134" s="804"/>
      <c r="AW134" s="806"/>
      <c r="AX134" s="806"/>
      <c r="AY134" s="804"/>
      <c r="AZ134" s="804"/>
      <c r="BA134" s="804"/>
      <c r="BB134" s="804"/>
      <c r="BC134" s="804"/>
      <c r="BD134" s="804"/>
      <c r="BE134" s="804"/>
      <c r="BF134" s="953"/>
      <c r="BG134" s="953"/>
      <c r="BH134" s="953"/>
      <c r="BI134" s="804"/>
      <c r="BJ134" s="806"/>
      <c r="BK134" s="806"/>
      <c r="BL134" s="804"/>
      <c r="BM134" s="804"/>
      <c r="BN134" s="804"/>
      <c r="BO134" s="804"/>
      <c r="BP134" s="804"/>
      <c r="BQ134" s="804"/>
      <c r="BR134" s="804"/>
      <c r="BS134" s="953"/>
      <c r="BT134" s="953"/>
      <c r="BU134" s="953"/>
      <c r="BV134" s="804"/>
      <c r="BW134" s="486"/>
      <c r="BX134" s="486"/>
      <c r="BY134" s="486"/>
      <c r="BZ134" s="486"/>
      <c r="CA134" s="486"/>
      <c r="CB134" s="486"/>
      <c r="CC134" s="486"/>
      <c r="CD134" s="486"/>
      <c r="CE134" s="486"/>
      <c r="CF134" s="486"/>
      <c r="CG134" s="486"/>
      <c r="CH134" s="486"/>
      <c r="CI134" s="486"/>
      <c r="CJ134" s="486"/>
      <c r="CK134" s="486"/>
      <c r="CL134" s="486"/>
      <c r="CM134" s="486"/>
      <c r="CN134" s="486"/>
      <c r="CO134" s="486"/>
      <c r="CP134" s="486"/>
      <c r="CQ134" s="486"/>
      <c r="CR134" s="486"/>
      <c r="CS134" s="486"/>
      <c r="CT134" s="486"/>
      <c r="CU134" s="486"/>
      <c r="CV134" s="486"/>
      <c r="CW134" s="486"/>
      <c r="CX134" s="486"/>
      <c r="CY134" s="486"/>
      <c r="CZ134" s="486"/>
      <c r="DA134" s="486"/>
      <c r="DB134" s="486"/>
      <c r="DC134" s="486"/>
      <c r="DD134" s="486"/>
      <c r="DE134" s="486"/>
      <c r="DF134" s="486"/>
      <c r="DG134" s="486"/>
      <c r="DH134" s="486"/>
      <c r="DI134" s="486"/>
      <c r="DJ134" s="486"/>
      <c r="DK134" s="486"/>
      <c r="DL134" s="486"/>
      <c r="DM134" s="486"/>
      <c r="DN134" s="486"/>
      <c r="DO134" s="486"/>
      <c r="DP134" s="486"/>
      <c r="DQ134" s="486"/>
      <c r="DR134" s="486"/>
      <c r="DS134" s="486"/>
      <c r="DT134" s="486"/>
      <c r="DU134" s="486"/>
      <c r="DV134" s="486"/>
      <c r="DW134" s="486"/>
      <c r="DX134" s="486"/>
      <c r="DY134" s="486"/>
      <c r="DZ134" s="486"/>
      <c r="EA134" s="486"/>
      <c r="EB134" s="486"/>
      <c r="EC134" s="486"/>
      <c r="ED134" s="486"/>
      <c r="EE134" s="486"/>
      <c r="EF134" s="486"/>
      <c r="EG134" s="486"/>
      <c r="EH134" s="486"/>
      <c r="EI134" s="486"/>
      <c r="EJ134" s="486"/>
      <c r="EK134" s="486"/>
      <c r="EL134" s="486"/>
      <c r="EM134" s="486"/>
      <c r="EN134" s="486"/>
      <c r="EO134" s="486"/>
      <c r="EP134" s="486"/>
      <c r="EQ134" s="486"/>
      <c r="ER134" s="486"/>
      <c r="ES134" s="486"/>
      <c r="ET134" s="486"/>
      <c r="EU134" s="486"/>
      <c r="EV134" s="486"/>
      <c r="EW134" s="486"/>
      <c r="EX134" s="486"/>
      <c r="EY134" s="486"/>
      <c r="EZ134" s="486"/>
      <c r="FA134" s="486"/>
      <c r="FB134" s="486"/>
      <c r="FC134" s="486"/>
      <c r="FD134" s="486"/>
      <c r="FE134" s="486"/>
      <c r="FF134" s="486"/>
      <c r="FG134" s="486"/>
      <c r="FH134" s="486"/>
    </row>
    <row r="135" spans="1:164" ht="15.75">
      <c r="A135" s="407"/>
      <c r="B135" s="404"/>
      <c r="C135" s="214" t="s">
        <v>1274</v>
      </c>
      <c r="D135" s="775"/>
      <c r="E135" s="1054"/>
      <c r="F135" s="1078"/>
      <c r="G135" s="1078"/>
      <c r="H135" s="775"/>
      <c r="I135" s="404"/>
      <c r="J135" s="404"/>
      <c r="K135" s="311"/>
      <c r="L135" s="340"/>
      <c r="N135" s="84"/>
      <c r="O135" s="84"/>
      <c r="P135" s="804"/>
      <c r="Q135" s="804"/>
      <c r="R135" s="804"/>
      <c r="S135" s="804"/>
      <c r="T135" s="804"/>
      <c r="U135" s="804"/>
      <c r="V135" s="804"/>
      <c r="W135" s="804"/>
      <c r="X135" s="300"/>
      <c r="Y135" s="315"/>
      <c r="Z135" s="804"/>
      <c r="AA135" s="804"/>
      <c r="AB135" s="804"/>
      <c r="AC135" s="804"/>
      <c r="AD135" s="804"/>
      <c r="AE135" s="804"/>
      <c r="AF135" s="804"/>
      <c r="AG135" s="804"/>
      <c r="AH135" s="804"/>
      <c r="AI135" s="804"/>
      <c r="AJ135" s="806"/>
      <c r="AK135" s="806"/>
      <c r="AL135" s="804"/>
      <c r="AM135" s="804"/>
      <c r="AN135" s="804"/>
      <c r="AO135" s="804"/>
      <c r="AP135" s="804"/>
      <c r="AQ135" s="804"/>
      <c r="AR135" s="804"/>
      <c r="AS135" s="804"/>
      <c r="AT135" s="804"/>
      <c r="AU135" s="804"/>
      <c r="AV135" s="804"/>
      <c r="AW135" s="806"/>
      <c r="AX135" s="806"/>
      <c r="AY135" s="804"/>
      <c r="AZ135" s="804"/>
      <c r="BA135" s="804"/>
      <c r="BB135" s="804"/>
      <c r="BC135" s="804"/>
      <c r="BD135" s="804"/>
      <c r="BE135" s="804"/>
      <c r="BF135" s="953"/>
      <c r="BG135" s="953"/>
      <c r="BH135" s="953"/>
      <c r="BI135" s="804"/>
      <c r="BJ135" s="806"/>
      <c r="BK135" s="806"/>
      <c r="BL135" s="804"/>
      <c r="BM135" s="804"/>
      <c r="BN135" s="804"/>
      <c r="BO135" s="804"/>
      <c r="BP135" s="804"/>
      <c r="BQ135" s="804"/>
      <c r="BR135" s="804"/>
      <c r="BS135" s="953"/>
      <c r="BT135" s="953"/>
      <c r="BU135" s="953"/>
      <c r="BV135" s="804"/>
      <c r="BW135" s="486"/>
      <c r="BX135" s="486"/>
      <c r="BY135" s="486"/>
      <c r="BZ135" s="486"/>
      <c r="CA135" s="486"/>
      <c r="CB135" s="486"/>
      <c r="CC135" s="486"/>
      <c r="CD135" s="486"/>
      <c r="CE135" s="486"/>
      <c r="CF135" s="486"/>
      <c r="CG135" s="486"/>
      <c r="CH135" s="486"/>
      <c r="CI135" s="486"/>
      <c r="CJ135" s="486"/>
      <c r="CK135" s="486"/>
      <c r="CL135" s="486"/>
      <c r="CM135" s="486"/>
      <c r="CN135" s="486"/>
      <c r="CO135" s="486"/>
      <c r="CP135" s="486"/>
      <c r="CQ135" s="486"/>
      <c r="CR135" s="486"/>
      <c r="CS135" s="486"/>
      <c r="CT135" s="486"/>
      <c r="CU135" s="486"/>
      <c r="CV135" s="486"/>
      <c r="CW135" s="486"/>
      <c r="CX135" s="486"/>
      <c r="CY135" s="486"/>
      <c r="CZ135" s="486"/>
      <c r="DA135" s="486"/>
      <c r="DB135" s="486"/>
      <c r="DC135" s="486"/>
      <c r="DD135" s="486"/>
      <c r="DE135" s="486"/>
      <c r="DF135" s="486"/>
      <c r="DG135" s="486"/>
      <c r="DH135" s="486"/>
      <c r="DI135" s="486"/>
      <c r="DJ135" s="486"/>
      <c r="DK135" s="486"/>
      <c r="DL135" s="486"/>
      <c r="DM135" s="486"/>
      <c r="DN135" s="486"/>
      <c r="DO135" s="486"/>
      <c r="DP135" s="486"/>
      <c r="DQ135" s="486"/>
      <c r="DR135" s="486"/>
      <c r="DS135" s="486"/>
      <c r="DT135" s="486"/>
      <c r="DU135" s="486"/>
      <c r="DV135" s="486"/>
      <c r="DW135" s="486"/>
      <c r="DX135" s="486"/>
      <c r="DY135" s="486"/>
      <c r="DZ135" s="486"/>
      <c r="EA135" s="486"/>
      <c r="EB135" s="486"/>
      <c r="EC135" s="486"/>
      <c r="ED135" s="486"/>
      <c r="EE135" s="486"/>
      <c r="EF135" s="486"/>
      <c r="EG135" s="486"/>
      <c r="EH135" s="486"/>
      <c r="EI135" s="486"/>
      <c r="EJ135" s="486"/>
      <c r="EK135" s="486"/>
      <c r="EL135" s="486"/>
      <c r="EM135" s="486"/>
      <c r="EN135" s="486"/>
      <c r="EO135" s="486"/>
      <c r="EP135" s="486"/>
      <c r="EQ135" s="486"/>
      <c r="ER135" s="486"/>
      <c r="ES135" s="486"/>
      <c r="ET135" s="486"/>
      <c r="EU135" s="486"/>
      <c r="EV135" s="486"/>
      <c r="EW135" s="486"/>
      <c r="EX135" s="486"/>
      <c r="EY135" s="486"/>
      <c r="EZ135" s="486"/>
      <c r="FA135" s="486"/>
      <c r="FB135" s="486"/>
      <c r="FC135" s="486"/>
      <c r="FD135" s="486"/>
      <c r="FE135" s="486"/>
      <c r="FF135" s="486"/>
      <c r="FG135" s="486"/>
      <c r="FH135" s="486"/>
    </row>
    <row r="136" spans="1:164" s="84" customFormat="1" ht="15">
      <c r="A136" s="407">
        <f>A133+1</f>
        <v>167</v>
      </c>
      <c r="B136" s="404" t="s">
        <v>636</v>
      </c>
      <c r="C136" s="211" t="s">
        <v>1275</v>
      </c>
      <c r="D136" s="211"/>
      <c r="E136" s="1050">
        <f>F136+G136</f>
        <v>0</v>
      </c>
      <c r="F136" s="1064"/>
      <c r="G136" s="1072"/>
      <c r="H136" s="1305"/>
      <c r="I136" s="1306"/>
      <c r="J136" s="1307"/>
      <c r="K136" s="873"/>
      <c r="L136" s="314"/>
      <c r="P136" s="804"/>
      <c r="Q136" s="804"/>
      <c r="R136" s="804"/>
      <c r="S136" s="804"/>
      <c r="T136" s="804"/>
      <c r="U136" s="804"/>
      <c r="V136" s="804"/>
      <c r="W136" s="804"/>
      <c r="X136" s="315"/>
      <c r="Y136" s="315"/>
      <c r="Z136" s="804"/>
      <c r="AA136" s="804"/>
      <c r="AB136" s="804"/>
      <c r="AC136" s="804"/>
      <c r="AD136" s="804"/>
      <c r="AE136" s="804"/>
      <c r="AF136" s="804"/>
      <c r="AG136" s="804"/>
      <c r="AH136" s="804"/>
      <c r="AI136" s="804"/>
      <c r="AJ136" s="804"/>
      <c r="AK136" s="804"/>
      <c r="AL136" s="804"/>
      <c r="AM136" s="804"/>
      <c r="AN136" s="804"/>
      <c r="AO136" s="804"/>
      <c r="AP136" s="804"/>
      <c r="AQ136" s="804"/>
      <c r="AR136" s="804"/>
      <c r="AS136" s="804"/>
      <c r="AT136" s="804"/>
      <c r="AU136" s="804"/>
      <c r="AV136" s="804"/>
      <c r="AW136" s="804"/>
      <c r="AX136" s="804"/>
      <c r="AY136" s="804"/>
      <c r="AZ136" s="804"/>
      <c r="BA136" s="804"/>
      <c r="BB136" s="804"/>
      <c r="BC136" s="804"/>
      <c r="BD136" s="804"/>
      <c r="BE136" s="804"/>
      <c r="BF136" s="953"/>
      <c r="BG136" s="953"/>
      <c r="BH136" s="953"/>
      <c r="BI136" s="804"/>
      <c r="BJ136" s="804"/>
      <c r="BK136" s="804"/>
      <c r="BL136" s="804"/>
      <c r="BM136" s="804"/>
      <c r="BN136" s="804"/>
      <c r="BO136" s="804"/>
      <c r="BP136" s="804"/>
      <c r="BQ136" s="804"/>
      <c r="BR136" s="804"/>
      <c r="BS136" s="953"/>
      <c r="BT136" s="953"/>
      <c r="BU136" s="953"/>
      <c r="BV136" s="804"/>
      <c r="BW136" s="403"/>
      <c r="BX136" s="403"/>
      <c r="BY136" s="403"/>
      <c r="BZ136" s="403"/>
      <c r="CA136" s="403"/>
      <c r="CB136" s="403"/>
      <c r="CC136" s="403"/>
      <c r="CD136" s="403"/>
      <c r="CE136" s="403"/>
      <c r="CF136" s="403"/>
      <c r="CG136" s="403"/>
      <c r="CH136" s="403"/>
      <c r="CI136" s="403"/>
      <c r="CJ136" s="403"/>
      <c r="CK136" s="403"/>
      <c r="CL136" s="403"/>
      <c r="CM136" s="403"/>
      <c r="CN136" s="403"/>
      <c r="CO136" s="403"/>
      <c r="CP136" s="403"/>
      <c r="CQ136" s="403"/>
      <c r="CR136" s="403"/>
      <c r="CS136" s="403"/>
      <c r="CT136" s="403"/>
      <c r="CU136" s="403"/>
      <c r="CV136" s="403"/>
      <c r="CW136" s="403"/>
      <c r="CX136" s="403"/>
      <c r="CY136" s="403"/>
      <c r="CZ136" s="403"/>
      <c r="DA136" s="403"/>
      <c r="DB136" s="403"/>
      <c r="DC136" s="403"/>
      <c r="DD136" s="403"/>
      <c r="DE136" s="403"/>
      <c r="DF136" s="403"/>
      <c r="DG136" s="403"/>
      <c r="DH136" s="403"/>
      <c r="DI136" s="403"/>
      <c r="DJ136" s="403"/>
      <c r="DK136" s="403"/>
      <c r="DL136" s="403"/>
      <c r="DM136" s="403"/>
      <c r="DN136" s="403"/>
      <c r="DO136" s="403"/>
      <c r="DP136" s="403"/>
      <c r="DQ136" s="403"/>
      <c r="DR136" s="403"/>
      <c r="DS136" s="403"/>
      <c r="DT136" s="403"/>
      <c r="DU136" s="403"/>
      <c r="DV136" s="403"/>
      <c r="DW136" s="403"/>
      <c r="DX136" s="403"/>
      <c r="DY136" s="403"/>
      <c r="DZ136" s="403"/>
      <c r="EA136" s="403"/>
      <c r="EB136" s="403"/>
      <c r="EC136" s="403"/>
      <c r="ED136" s="403"/>
      <c r="EE136" s="403"/>
      <c r="EF136" s="403"/>
      <c r="EG136" s="403"/>
      <c r="EH136" s="403"/>
      <c r="EI136" s="403"/>
      <c r="EJ136" s="403"/>
      <c r="EK136" s="403"/>
      <c r="EL136" s="403"/>
      <c r="EM136" s="403"/>
      <c r="EN136" s="403"/>
      <c r="EO136" s="403"/>
      <c r="EP136" s="403"/>
      <c r="EQ136" s="403"/>
      <c r="ER136" s="403"/>
      <c r="ES136" s="403"/>
      <c r="ET136" s="403"/>
      <c r="EU136" s="403"/>
      <c r="EV136" s="403"/>
      <c r="EW136" s="403"/>
      <c r="EX136" s="403"/>
      <c r="EY136" s="403"/>
      <c r="EZ136" s="403"/>
      <c r="FA136" s="403"/>
      <c r="FB136" s="403"/>
      <c r="FC136" s="403"/>
      <c r="FD136" s="403"/>
      <c r="FE136" s="403"/>
      <c r="FF136" s="403"/>
      <c r="FG136" s="403"/>
      <c r="FH136" s="403"/>
    </row>
    <row r="137" spans="1:164" s="84" customFormat="1" ht="15">
      <c r="A137" s="407">
        <f t="shared" ref="A137:A162" si="61">A136+1</f>
        <v>168</v>
      </c>
      <c r="B137" s="404" t="s">
        <v>636</v>
      </c>
      <c r="C137" s="211" t="s">
        <v>1276</v>
      </c>
      <c r="D137" s="211"/>
      <c r="E137" s="1050">
        <f>F137+G137</f>
        <v>0</v>
      </c>
      <c r="F137" s="1064"/>
      <c r="G137" s="1065"/>
      <c r="H137" s="1305"/>
      <c r="I137" s="1306"/>
      <c r="J137" s="1307"/>
      <c r="K137" s="873"/>
      <c r="L137" s="314"/>
      <c r="P137" s="804"/>
      <c r="Q137" s="804"/>
      <c r="R137" s="804"/>
      <c r="S137" s="804"/>
      <c r="T137" s="804"/>
      <c r="U137" s="804"/>
      <c r="V137" s="804"/>
      <c r="W137" s="804"/>
      <c r="X137" s="315"/>
      <c r="Y137" s="315"/>
      <c r="Z137" s="804"/>
      <c r="AA137" s="804"/>
      <c r="AB137" s="804"/>
      <c r="AC137" s="804"/>
      <c r="AD137" s="804"/>
      <c r="AE137" s="804"/>
      <c r="AF137" s="804"/>
      <c r="AG137" s="804"/>
      <c r="AH137" s="804"/>
      <c r="AI137" s="804"/>
      <c r="AJ137" s="804"/>
      <c r="AK137" s="804"/>
      <c r="AL137" s="804"/>
      <c r="AM137" s="804"/>
      <c r="AN137" s="804"/>
      <c r="AO137" s="804"/>
      <c r="AP137" s="804"/>
      <c r="AQ137" s="804"/>
      <c r="AR137" s="804"/>
      <c r="AS137" s="804"/>
      <c r="AT137" s="804"/>
      <c r="AU137" s="804"/>
      <c r="AV137" s="804"/>
      <c r="AW137" s="804"/>
      <c r="AX137" s="804"/>
      <c r="AY137" s="804"/>
      <c r="AZ137" s="804"/>
      <c r="BA137" s="804"/>
      <c r="BB137" s="804"/>
      <c r="BC137" s="804"/>
      <c r="BD137" s="804"/>
      <c r="BE137" s="804"/>
      <c r="BF137" s="953"/>
      <c r="BG137" s="953"/>
      <c r="BH137" s="953"/>
      <c r="BI137" s="804"/>
      <c r="BJ137" s="804"/>
      <c r="BK137" s="804"/>
      <c r="BL137" s="804"/>
      <c r="BM137" s="804"/>
      <c r="BN137" s="804"/>
      <c r="BO137" s="804"/>
      <c r="BP137" s="804"/>
      <c r="BQ137" s="804"/>
      <c r="BR137" s="804"/>
      <c r="BS137" s="953"/>
      <c r="BT137" s="953"/>
      <c r="BU137" s="953"/>
      <c r="BV137" s="804"/>
      <c r="BW137" s="403"/>
      <c r="BX137" s="403"/>
      <c r="BY137" s="403"/>
      <c r="BZ137" s="403"/>
      <c r="CA137" s="403"/>
      <c r="CB137" s="403"/>
      <c r="CC137" s="403"/>
      <c r="CD137" s="403"/>
      <c r="CE137" s="403"/>
      <c r="CF137" s="403"/>
      <c r="CG137" s="403"/>
      <c r="CH137" s="403"/>
      <c r="CI137" s="403"/>
      <c r="CJ137" s="403"/>
      <c r="CK137" s="403"/>
      <c r="CL137" s="403"/>
      <c r="CM137" s="403"/>
      <c r="CN137" s="403"/>
      <c r="CO137" s="403"/>
      <c r="CP137" s="403"/>
      <c r="CQ137" s="403"/>
      <c r="CR137" s="403"/>
      <c r="CS137" s="403"/>
      <c r="CT137" s="403"/>
      <c r="CU137" s="403"/>
      <c r="CV137" s="403"/>
      <c r="CW137" s="403"/>
      <c r="CX137" s="403"/>
      <c r="CY137" s="403"/>
      <c r="CZ137" s="403"/>
      <c r="DA137" s="403"/>
      <c r="DB137" s="403"/>
      <c r="DC137" s="403"/>
      <c r="DD137" s="403"/>
      <c r="DE137" s="403"/>
      <c r="DF137" s="403"/>
      <c r="DG137" s="403"/>
      <c r="DH137" s="403"/>
      <c r="DI137" s="403"/>
      <c r="DJ137" s="403"/>
      <c r="DK137" s="403"/>
      <c r="DL137" s="403"/>
      <c r="DM137" s="403"/>
      <c r="DN137" s="403"/>
      <c r="DO137" s="403"/>
      <c r="DP137" s="403"/>
      <c r="DQ137" s="403"/>
      <c r="DR137" s="403"/>
      <c r="DS137" s="403"/>
      <c r="DT137" s="403"/>
      <c r="DU137" s="403"/>
      <c r="DV137" s="403"/>
      <c r="DW137" s="403"/>
      <c r="DX137" s="403"/>
      <c r="DY137" s="403"/>
      <c r="DZ137" s="403"/>
      <c r="EA137" s="403"/>
      <c r="EB137" s="403"/>
      <c r="EC137" s="403"/>
      <c r="ED137" s="403"/>
      <c r="EE137" s="403"/>
      <c r="EF137" s="403"/>
      <c r="EG137" s="403"/>
      <c r="EH137" s="403"/>
      <c r="EI137" s="403"/>
      <c r="EJ137" s="403"/>
      <c r="EK137" s="403"/>
      <c r="EL137" s="403"/>
      <c r="EM137" s="403"/>
      <c r="EN137" s="403"/>
      <c r="EO137" s="403"/>
      <c r="EP137" s="403"/>
      <c r="EQ137" s="403"/>
      <c r="ER137" s="403"/>
      <c r="ES137" s="403"/>
      <c r="ET137" s="403"/>
      <c r="EU137" s="403"/>
      <c r="EV137" s="403"/>
      <c r="EW137" s="403"/>
      <c r="EX137" s="403"/>
      <c r="EY137" s="403"/>
      <c r="EZ137" s="403"/>
      <c r="FA137" s="403"/>
      <c r="FB137" s="403"/>
      <c r="FC137" s="403"/>
      <c r="FD137" s="403"/>
      <c r="FE137" s="403"/>
      <c r="FF137" s="403"/>
      <c r="FG137" s="403"/>
      <c r="FH137" s="403"/>
    </row>
    <row r="138" spans="1:164" s="84" customFormat="1" ht="15">
      <c r="A138" s="407">
        <f t="shared" si="61"/>
        <v>169</v>
      </c>
      <c r="B138" s="404" t="s">
        <v>636</v>
      </c>
      <c r="C138" s="211" t="s">
        <v>1277</v>
      </c>
      <c r="D138" s="211"/>
      <c r="E138" s="1050">
        <f t="shared" ref="E138:E161" si="62">F138+G138</f>
        <v>0</v>
      </c>
      <c r="F138" s="1064"/>
      <c r="G138" s="1065"/>
      <c r="H138" s="1305"/>
      <c r="I138" s="1306"/>
      <c r="J138" s="1307"/>
      <c r="K138" s="873"/>
      <c r="L138" s="314"/>
      <c r="P138" s="804"/>
      <c r="Q138" s="804"/>
      <c r="R138" s="804"/>
      <c r="S138" s="804"/>
      <c r="T138" s="804"/>
      <c r="U138" s="804"/>
      <c r="V138" s="804"/>
      <c r="W138" s="804"/>
      <c r="X138" s="315"/>
      <c r="Y138" s="315"/>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4"/>
      <c r="AY138" s="804"/>
      <c r="AZ138" s="804"/>
      <c r="BA138" s="804"/>
      <c r="BB138" s="804"/>
      <c r="BC138" s="804"/>
      <c r="BD138" s="804"/>
      <c r="BE138" s="804"/>
      <c r="BF138" s="953"/>
      <c r="BG138" s="953"/>
      <c r="BH138" s="953"/>
      <c r="BI138" s="804"/>
      <c r="BJ138" s="804"/>
      <c r="BK138" s="804"/>
      <c r="BL138" s="804"/>
      <c r="BM138" s="804"/>
      <c r="BN138" s="804"/>
      <c r="BO138" s="804"/>
      <c r="BP138" s="804"/>
      <c r="BQ138" s="804"/>
      <c r="BR138" s="804"/>
      <c r="BS138" s="953"/>
      <c r="BT138" s="953"/>
      <c r="BU138" s="953"/>
      <c r="BV138" s="804"/>
      <c r="BW138" s="403"/>
      <c r="BX138" s="403"/>
      <c r="BY138" s="403"/>
      <c r="BZ138" s="403"/>
      <c r="CA138" s="403"/>
      <c r="CB138" s="403"/>
      <c r="CC138" s="403"/>
      <c r="CD138" s="403"/>
      <c r="CE138" s="403"/>
      <c r="CF138" s="403"/>
      <c r="CG138" s="403"/>
      <c r="CH138" s="403"/>
      <c r="CI138" s="403"/>
      <c r="CJ138" s="403"/>
      <c r="CK138" s="403"/>
      <c r="CL138" s="403"/>
      <c r="CM138" s="403"/>
      <c r="CN138" s="403"/>
      <c r="CO138" s="403"/>
      <c r="CP138" s="403"/>
      <c r="CQ138" s="403"/>
      <c r="CR138" s="403"/>
      <c r="CS138" s="403"/>
      <c r="CT138" s="403"/>
      <c r="CU138" s="403"/>
      <c r="CV138" s="403"/>
      <c r="CW138" s="403"/>
      <c r="CX138" s="403"/>
      <c r="CY138" s="403"/>
      <c r="CZ138" s="403"/>
      <c r="DA138" s="403"/>
      <c r="DB138" s="403"/>
      <c r="DC138" s="403"/>
      <c r="DD138" s="403"/>
      <c r="DE138" s="403"/>
      <c r="DF138" s="403"/>
      <c r="DG138" s="403"/>
      <c r="DH138" s="403"/>
      <c r="DI138" s="403"/>
      <c r="DJ138" s="403"/>
      <c r="DK138" s="403"/>
      <c r="DL138" s="403"/>
      <c r="DM138" s="403"/>
      <c r="DN138" s="403"/>
      <c r="DO138" s="403"/>
      <c r="DP138" s="403"/>
      <c r="DQ138" s="403"/>
      <c r="DR138" s="403"/>
      <c r="DS138" s="403"/>
      <c r="DT138" s="403"/>
      <c r="DU138" s="403"/>
      <c r="DV138" s="403"/>
      <c r="DW138" s="403"/>
      <c r="DX138" s="403"/>
      <c r="DY138" s="403"/>
      <c r="DZ138" s="403"/>
      <c r="EA138" s="403"/>
      <c r="EB138" s="403"/>
      <c r="EC138" s="403"/>
      <c r="ED138" s="403"/>
      <c r="EE138" s="403"/>
      <c r="EF138" s="403"/>
      <c r="EG138" s="403"/>
      <c r="EH138" s="403"/>
      <c r="EI138" s="403"/>
      <c r="EJ138" s="403"/>
      <c r="EK138" s="403"/>
      <c r="EL138" s="403"/>
      <c r="EM138" s="403"/>
      <c r="EN138" s="403"/>
      <c r="EO138" s="403"/>
      <c r="EP138" s="403"/>
      <c r="EQ138" s="403"/>
      <c r="ER138" s="403"/>
      <c r="ES138" s="403"/>
      <c r="ET138" s="403"/>
      <c r="EU138" s="403"/>
      <c r="EV138" s="403"/>
      <c r="EW138" s="403"/>
      <c r="EX138" s="403"/>
      <c r="EY138" s="403"/>
      <c r="EZ138" s="403"/>
      <c r="FA138" s="403"/>
      <c r="FB138" s="403"/>
      <c r="FC138" s="403"/>
      <c r="FD138" s="403"/>
      <c r="FE138" s="403"/>
      <c r="FF138" s="403"/>
      <c r="FG138" s="403"/>
      <c r="FH138" s="403"/>
    </row>
    <row r="139" spans="1:164" s="84" customFormat="1" ht="15">
      <c r="A139" s="407">
        <f t="shared" si="61"/>
        <v>170</v>
      </c>
      <c r="B139" s="404" t="s">
        <v>636</v>
      </c>
      <c r="C139" s="211" t="s">
        <v>1278</v>
      </c>
      <c r="D139" s="211"/>
      <c r="E139" s="1050">
        <f t="shared" si="62"/>
        <v>0</v>
      </c>
      <c r="F139" s="1064"/>
      <c r="G139" s="1065"/>
      <c r="H139" s="1305"/>
      <c r="I139" s="1306"/>
      <c r="J139" s="1307"/>
      <c r="K139" s="873"/>
      <c r="L139" s="314"/>
      <c r="P139" s="804"/>
      <c r="Q139" s="804"/>
      <c r="R139" s="804"/>
      <c r="S139" s="804"/>
      <c r="T139" s="804"/>
      <c r="U139" s="804"/>
      <c r="V139" s="804"/>
      <c r="W139" s="804"/>
      <c r="X139" s="315"/>
      <c r="Y139" s="315"/>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4"/>
      <c r="AY139" s="804"/>
      <c r="AZ139" s="804"/>
      <c r="BA139" s="804"/>
      <c r="BB139" s="804"/>
      <c r="BC139" s="804"/>
      <c r="BD139" s="804"/>
      <c r="BE139" s="804"/>
      <c r="BF139" s="953"/>
      <c r="BG139" s="953"/>
      <c r="BH139" s="953"/>
      <c r="BI139" s="804"/>
      <c r="BJ139" s="804"/>
      <c r="BK139" s="804"/>
      <c r="BL139" s="804"/>
      <c r="BM139" s="804"/>
      <c r="BN139" s="804"/>
      <c r="BO139" s="804"/>
      <c r="BP139" s="804"/>
      <c r="BQ139" s="804"/>
      <c r="BR139" s="804"/>
      <c r="BS139" s="953"/>
      <c r="BT139" s="953"/>
      <c r="BU139" s="953"/>
      <c r="BV139" s="804"/>
      <c r="BW139" s="403"/>
      <c r="BX139" s="403"/>
      <c r="BY139" s="403"/>
      <c r="BZ139" s="403"/>
      <c r="CA139" s="403"/>
      <c r="CB139" s="403"/>
      <c r="CC139" s="403"/>
      <c r="CD139" s="403"/>
      <c r="CE139" s="403"/>
      <c r="CF139" s="403"/>
      <c r="CG139" s="403"/>
      <c r="CH139" s="403"/>
      <c r="CI139" s="403"/>
      <c r="CJ139" s="403"/>
      <c r="CK139" s="403"/>
      <c r="CL139" s="403"/>
      <c r="CM139" s="403"/>
      <c r="CN139" s="403"/>
      <c r="CO139" s="403"/>
      <c r="CP139" s="403"/>
      <c r="CQ139" s="403"/>
      <c r="CR139" s="403"/>
      <c r="CS139" s="403"/>
      <c r="CT139" s="403"/>
      <c r="CU139" s="403"/>
      <c r="CV139" s="403"/>
      <c r="CW139" s="403"/>
      <c r="CX139" s="403"/>
      <c r="CY139" s="403"/>
      <c r="CZ139" s="403"/>
      <c r="DA139" s="403"/>
      <c r="DB139" s="403"/>
      <c r="DC139" s="403"/>
      <c r="DD139" s="403"/>
      <c r="DE139" s="403"/>
      <c r="DF139" s="403"/>
      <c r="DG139" s="403"/>
      <c r="DH139" s="403"/>
      <c r="DI139" s="403"/>
      <c r="DJ139" s="403"/>
      <c r="DK139" s="403"/>
      <c r="DL139" s="403"/>
      <c r="DM139" s="403"/>
      <c r="DN139" s="403"/>
      <c r="DO139" s="403"/>
      <c r="DP139" s="403"/>
      <c r="DQ139" s="403"/>
      <c r="DR139" s="403"/>
      <c r="DS139" s="403"/>
      <c r="DT139" s="403"/>
      <c r="DU139" s="403"/>
      <c r="DV139" s="403"/>
      <c r="DW139" s="403"/>
      <c r="DX139" s="403"/>
      <c r="DY139" s="403"/>
      <c r="DZ139" s="403"/>
      <c r="EA139" s="403"/>
      <c r="EB139" s="403"/>
      <c r="EC139" s="403"/>
      <c r="ED139" s="403"/>
      <c r="EE139" s="403"/>
      <c r="EF139" s="403"/>
      <c r="EG139" s="403"/>
      <c r="EH139" s="403"/>
      <c r="EI139" s="403"/>
      <c r="EJ139" s="403"/>
      <c r="EK139" s="403"/>
      <c r="EL139" s="403"/>
      <c r="EM139" s="403"/>
      <c r="EN139" s="403"/>
      <c r="EO139" s="403"/>
      <c r="EP139" s="403"/>
      <c r="EQ139" s="403"/>
      <c r="ER139" s="403"/>
      <c r="ES139" s="403"/>
      <c r="ET139" s="403"/>
      <c r="EU139" s="403"/>
      <c r="EV139" s="403"/>
      <c r="EW139" s="403"/>
      <c r="EX139" s="403"/>
      <c r="EY139" s="403"/>
      <c r="EZ139" s="403"/>
      <c r="FA139" s="403"/>
      <c r="FB139" s="403"/>
      <c r="FC139" s="403"/>
      <c r="FD139" s="403"/>
      <c r="FE139" s="403"/>
      <c r="FF139" s="403"/>
      <c r="FG139" s="403"/>
      <c r="FH139" s="403"/>
    </row>
    <row r="140" spans="1:164" s="84" customFormat="1" ht="15">
      <c r="A140" s="407">
        <f t="shared" si="61"/>
        <v>171</v>
      </c>
      <c r="B140" s="404" t="s">
        <v>636</v>
      </c>
      <c r="C140" s="211" t="s">
        <v>1279</v>
      </c>
      <c r="D140" s="211"/>
      <c r="E140" s="1050">
        <f t="shared" si="62"/>
        <v>0</v>
      </c>
      <c r="F140" s="1064"/>
      <c r="G140" s="1065"/>
      <c r="H140" s="1305"/>
      <c r="I140" s="1306"/>
      <c r="J140" s="1307"/>
      <c r="K140" s="873"/>
      <c r="L140" s="314"/>
      <c r="P140" s="804"/>
      <c r="Q140" s="804"/>
      <c r="R140" s="804"/>
      <c r="S140" s="804"/>
      <c r="T140" s="804"/>
      <c r="U140" s="804"/>
      <c r="V140" s="804"/>
      <c r="W140" s="804"/>
      <c r="X140" s="315"/>
      <c r="Y140" s="315"/>
      <c r="Z140" s="804"/>
      <c r="AA140" s="804"/>
      <c r="AB140" s="804"/>
      <c r="AC140" s="804"/>
      <c r="AD140" s="804"/>
      <c r="AE140" s="804"/>
      <c r="AF140" s="804"/>
      <c r="AG140" s="804"/>
      <c r="AH140" s="804"/>
      <c r="AI140" s="804"/>
      <c r="AJ140" s="804"/>
      <c r="AK140" s="804"/>
      <c r="AL140" s="804"/>
      <c r="AM140" s="804"/>
      <c r="AN140" s="804"/>
      <c r="AO140" s="804"/>
      <c r="AP140" s="804"/>
      <c r="AQ140" s="804"/>
      <c r="AR140" s="804"/>
      <c r="AS140" s="804"/>
      <c r="AT140" s="804"/>
      <c r="AU140" s="804"/>
      <c r="AV140" s="804"/>
      <c r="AW140" s="804"/>
      <c r="AX140" s="804"/>
      <c r="AY140" s="804"/>
      <c r="AZ140" s="804"/>
      <c r="BA140" s="804"/>
      <c r="BB140" s="804"/>
      <c r="BC140" s="804"/>
      <c r="BD140" s="804"/>
      <c r="BE140" s="804"/>
      <c r="BF140" s="953"/>
      <c r="BG140" s="953"/>
      <c r="BH140" s="953"/>
      <c r="BI140" s="804"/>
      <c r="BJ140" s="804"/>
      <c r="BK140" s="804"/>
      <c r="BL140" s="804"/>
      <c r="BM140" s="804"/>
      <c r="BN140" s="804"/>
      <c r="BO140" s="804"/>
      <c r="BP140" s="804"/>
      <c r="BQ140" s="804"/>
      <c r="BR140" s="804"/>
      <c r="BS140" s="953"/>
      <c r="BT140" s="953"/>
      <c r="BU140" s="953"/>
      <c r="BV140" s="804"/>
      <c r="BW140" s="403"/>
      <c r="BX140" s="403"/>
      <c r="BY140" s="403"/>
      <c r="BZ140" s="403"/>
      <c r="CA140" s="403"/>
      <c r="CB140" s="403"/>
      <c r="CC140" s="403"/>
      <c r="CD140" s="403"/>
      <c r="CE140" s="403"/>
      <c r="CF140" s="403"/>
      <c r="CG140" s="403"/>
      <c r="CH140" s="403"/>
      <c r="CI140" s="403"/>
      <c r="CJ140" s="403"/>
      <c r="CK140" s="403"/>
      <c r="CL140" s="403"/>
      <c r="CM140" s="403"/>
      <c r="CN140" s="403"/>
      <c r="CO140" s="403"/>
      <c r="CP140" s="403"/>
      <c r="CQ140" s="403"/>
      <c r="CR140" s="403"/>
      <c r="CS140" s="403"/>
      <c r="CT140" s="403"/>
      <c r="CU140" s="403"/>
      <c r="CV140" s="403"/>
      <c r="CW140" s="403"/>
      <c r="CX140" s="403"/>
      <c r="CY140" s="403"/>
      <c r="CZ140" s="403"/>
      <c r="DA140" s="403"/>
      <c r="DB140" s="403"/>
      <c r="DC140" s="403"/>
      <c r="DD140" s="403"/>
      <c r="DE140" s="403"/>
      <c r="DF140" s="403"/>
      <c r="DG140" s="403"/>
      <c r="DH140" s="403"/>
      <c r="DI140" s="403"/>
      <c r="DJ140" s="403"/>
      <c r="DK140" s="403"/>
      <c r="DL140" s="403"/>
      <c r="DM140" s="403"/>
      <c r="DN140" s="403"/>
      <c r="DO140" s="403"/>
      <c r="DP140" s="403"/>
      <c r="DQ140" s="403"/>
      <c r="DR140" s="403"/>
      <c r="DS140" s="403"/>
      <c r="DT140" s="403"/>
      <c r="DU140" s="403"/>
      <c r="DV140" s="403"/>
      <c r="DW140" s="403"/>
      <c r="DX140" s="403"/>
      <c r="DY140" s="403"/>
      <c r="DZ140" s="403"/>
      <c r="EA140" s="403"/>
      <c r="EB140" s="403"/>
      <c r="EC140" s="403"/>
      <c r="ED140" s="403"/>
      <c r="EE140" s="403"/>
      <c r="EF140" s="403"/>
      <c r="EG140" s="403"/>
      <c r="EH140" s="403"/>
      <c r="EI140" s="403"/>
      <c r="EJ140" s="403"/>
      <c r="EK140" s="403"/>
      <c r="EL140" s="403"/>
      <c r="EM140" s="403"/>
      <c r="EN140" s="403"/>
      <c r="EO140" s="403"/>
      <c r="EP140" s="403"/>
      <c r="EQ140" s="403"/>
      <c r="ER140" s="403"/>
      <c r="ES140" s="403"/>
      <c r="ET140" s="403"/>
      <c r="EU140" s="403"/>
      <c r="EV140" s="403"/>
      <c r="EW140" s="403"/>
      <c r="EX140" s="403"/>
      <c r="EY140" s="403"/>
      <c r="EZ140" s="403"/>
      <c r="FA140" s="403"/>
      <c r="FB140" s="403"/>
      <c r="FC140" s="403"/>
      <c r="FD140" s="403"/>
      <c r="FE140" s="403"/>
      <c r="FF140" s="403"/>
      <c r="FG140" s="403"/>
      <c r="FH140" s="403"/>
    </row>
    <row r="141" spans="1:164" s="84" customFormat="1" ht="15">
      <c r="A141" s="407">
        <f t="shared" si="61"/>
        <v>172</v>
      </c>
      <c r="B141" s="404" t="s">
        <v>636</v>
      </c>
      <c r="C141" s="211" t="s">
        <v>1280</v>
      </c>
      <c r="D141" s="211"/>
      <c r="E141" s="1050">
        <f t="shared" si="62"/>
        <v>0</v>
      </c>
      <c r="F141" s="1064"/>
      <c r="G141" s="1065"/>
      <c r="H141" s="1305"/>
      <c r="I141" s="1306"/>
      <c r="J141" s="1307"/>
      <c r="K141" s="873"/>
      <c r="L141" s="314"/>
      <c r="P141" s="804"/>
      <c r="Q141" s="804"/>
      <c r="R141" s="804"/>
      <c r="S141" s="804"/>
      <c r="T141" s="804"/>
      <c r="U141" s="804"/>
      <c r="V141" s="804"/>
      <c r="W141" s="804"/>
      <c r="X141" s="315"/>
      <c r="Y141" s="315"/>
      <c r="Z141" s="804"/>
      <c r="AA141" s="804"/>
      <c r="AB141" s="804"/>
      <c r="AC141" s="804"/>
      <c r="AD141" s="804"/>
      <c r="AE141" s="804"/>
      <c r="AF141" s="804"/>
      <c r="AG141" s="804"/>
      <c r="AH141" s="804"/>
      <c r="AI141" s="804"/>
      <c r="AJ141" s="804"/>
      <c r="AK141" s="804"/>
      <c r="AL141" s="804"/>
      <c r="AM141" s="804"/>
      <c r="AN141" s="804"/>
      <c r="AO141" s="804"/>
      <c r="AP141" s="804"/>
      <c r="AQ141" s="804"/>
      <c r="AR141" s="804"/>
      <c r="AS141" s="804"/>
      <c r="AT141" s="804"/>
      <c r="AU141" s="804"/>
      <c r="AV141" s="804"/>
      <c r="AW141" s="804"/>
      <c r="AX141" s="804"/>
      <c r="AY141" s="804"/>
      <c r="AZ141" s="804"/>
      <c r="BA141" s="804"/>
      <c r="BB141" s="804"/>
      <c r="BC141" s="804"/>
      <c r="BD141" s="804"/>
      <c r="BE141" s="804"/>
      <c r="BF141" s="953"/>
      <c r="BG141" s="953"/>
      <c r="BH141" s="953"/>
      <c r="BI141" s="804"/>
      <c r="BJ141" s="804"/>
      <c r="BK141" s="804"/>
      <c r="BL141" s="804"/>
      <c r="BM141" s="804"/>
      <c r="BN141" s="804"/>
      <c r="BO141" s="804"/>
      <c r="BP141" s="804"/>
      <c r="BQ141" s="804"/>
      <c r="BR141" s="804"/>
      <c r="BS141" s="953"/>
      <c r="BT141" s="953"/>
      <c r="BU141" s="953"/>
      <c r="BV141" s="804"/>
      <c r="BW141" s="403"/>
      <c r="BX141" s="403"/>
      <c r="BY141" s="403"/>
      <c r="BZ141" s="403"/>
      <c r="CA141" s="403"/>
      <c r="CB141" s="403"/>
      <c r="CC141" s="403"/>
      <c r="CD141" s="403"/>
      <c r="CE141" s="403"/>
      <c r="CF141" s="403"/>
      <c r="CG141" s="403"/>
      <c r="CH141" s="403"/>
      <c r="CI141" s="403"/>
      <c r="CJ141" s="403"/>
      <c r="CK141" s="403"/>
      <c r="CL141" s="403"/>
      <c r="CM141" s="403"/>
      <c r="CN141" s="403"/>
      <c r="CO141" s="403"/>
      <c r="CP141" s="403"/>
      <c r="CQ141" s="403"/>
      <c r="CR141" s="403"/>
      <c r="CS141" s="403"/>
      <c r="CT141" s="403"/>
      <c r="CU141" s="403"/>
      <c r="CV141" s="403"/>
      <c r="CW141" s="403"/>
      <c r="CX141" s="403"/>
      <c r="CY141" s="403"/>
      <c r="CZ141" s="403"/>
      <c r="DA141" s="403"/>
      <c r="DB141" s="403"/>
      <c r="DC141" s="403"/>
      <c r="DD141" s="403"/>
      <c r="DE141" s="403"/>
      <c r="DF141" s="403"/>
      <c r="DG141" s="403"/>
      <c r="DH141" s="403"/>
      <c r="DI141" s="403"/>
      <c r="DJ141" s="403"/>
      <c r="DK141" s="403"/>
      <c r="DL141" s="403"/>
      <c r="DM141" s="403"/>
      <c r="DN141" s="403"/>
      <c r="DO141" s="403"/>
      <c r="DP141" s="403"/>
      <c r="DQ141" s="403"/>
      <c r="DR141" s="403"/>
      <c r="DS141" s="403"/>
      <c r="DT141" s="403"/>
      <c r="DU141" s="403"/>
      <c r="DV141" s="403"/>
      <c r="DW141" s="403"/>
      <c r="DX141" s="403"/>
      <c r="DY141" s="403"/>
      <c r="DZ141" s="403"/>
      <c r="EA141" s="403"/>
      <c r="EB141" s="403"/>
      <c r="EC141" s="403"/>
      <c r="ED141" s="403"/>
      <c r="EE141" s="403"/>
      <c r="EF141" s="403"/>
      <c r="EG141" s="403"/>
      <c r="EH141" s="403"/>
      <c r="EI141" s="403"/>
      <c r="EJ141" s="403"/>
      <c r="EK141" s="403"/>
      <c r="EL141" s="403"/>
      <c r="EM141" s="403"/>
      <c r="EN141" s="403"/>
      <c r="EO141" s="403"/>
      <c r="EP141" s="403"/>
      <c r="EQ141" s="403"/>
      <c r="ER141" s="403"/>
      <c r="ES141" s="403"/>
      <c r="ET141" s="403"/>
      <c r="EU141" s="403"/>
      <c r="EV141" s="403"/>
      <c r="EW141" s="403"/>
      <c r="EX141" s="403"/>
      <c r="EY141" s="403"/>
      <c r="EZ141" s="403"/>
      <c r="FA141" s="403"/>
      <c r="FB141" s="403"/>
      <c r="FC141" s="403"/>
      <c r="FD141" s="403"/>
      <c r="FE141" s="403"/>
      <c r="FF141" s="403"/>
      <c r="FG141" s="403"/>
      <c r="FH141" s="403"/>
    </row>
    <row r="142" spans="1:164" s="84" customFormat="1" ht="15">
      <c r="A142" s="407">
        <f t="shared" si="61"/>
        <v>173</v>
      </c>
      <c r="B142" s="404" t="s">
        <v>636</v>
      </c>
      <c r="C142" s="211" t="s">
        <v>1281</v>
      </c>
      <c r="D142" s="211"/>
      <c r="E142" s="1050">
        <f t="shared" si="62"/>
        <v>0</v>
      </c>
      <c r="F142" s="1064"/>
      <c r="G142" s="1065"/>
      <c r="H142" s="1305"/>
      <c r="I142" s="1306"/>
      <c r="J142" s="1307"/>
      <c r="K142" s="873"/>
      <c r="L142" s="314"/>
      <c r="P142" s="804"/>
      <c r="Q142" s="804"/>
      <c r="R142" s="804"/>
      <c r="S142" s="804"/>
      <c r="T142" s="804"/>
      <c r="U142" s="804"/>
      <c r="V142" s="804"/>
      <c r="W142" s="804"/>
      <c r="X142" s="315"/>
      <c r="Y142" s="315"/>
      <c r="Z142" s="804"/>
      <c r="AA142" s="804"/>
      <c r="AB142" s="804"/>
      <c r="AC142" s="804"/>
      <c r="AD142" s="804"/>
      <c r="AE142" s="804"/>
      <c r="AF142" s="804"/>
      <c r="AG142" s="804"/>
      <c r="AH142" s="804"/>
      <c r="AI142" s="804"/>
      <c r="AJ142" s="804"/>
      <c r="AK142" s="804"/>
      <c r="AL142" s="804"/>
      <c r="AM142" s="804"/>
      <c r="AN142" s="804"/>
      <c r="AO142" s="804"/>
      <c r="AP142" s="804"/>
      <c r="AQ142" s="804"/>
      <c r="AR142" s="804"/>
      <c r="AS142" s="804"/>
      <c r="AT142" s="804"/>
      <c r="AU142" s="804"/>
      <c r="AV142" s="804"/>
      <c r="AW142" s="804"/>
      <c r="AX142" s="804"/>
      <c r="AY142" s="804"/>
      <c r="AZ142" s="804"/>
      <c r="BA142" s="804"/>
      <c r="BB142" s="804"/>
      <c r="BC142" s="804"/>
      <c r="BD142" s="804"/>
      <c r="BE142" s="804"/>
      <c r="BF142" s="953"/>
      <c r="BG142" s="953"/>
      <c r="BH142" s="953"/>
      <c r="BI142" s="804"/>
      <c r="BJ142" s="804"/>
      <c r="BK142" s="804"/>
      <c r="BL142" s="804"/>
      <c r="BM142" s="804"/>
      <c r="BN142" s="804"/>
      <c r="BO142" s="804"/>
      <c r="BP142" s="804"/>
      <c r="BQ142" s="804"/>
      <c r="BR142" s="804"/>
      <c r="BS142" s="953"/>
      <c r="BT142" s="953"/>
      <c r="BU142" s="953"/>
      <c r="BV142" s="804"/>
      <c r="BW142" s="403"/>
      <c r="BX142" s="403"/>
      <c r="BY142" s="403"/>
      <c r="BZ142" s="403"/>
      <c r="CA142" s="403"/>
      <c r="CB142" s="403"/>
      <c r="CC142" s="403"/>
      <c r="CD142" s="403"/>
      <c r="CE142" s="403"/>
      <c r="CF142" s="403"/>
      <c r="CG142" s="403"/>
      <c r="CH142" s="403"/>
      <c r="CI142" s="403"/>
      <c r="CJ142" s="403"/>
      <c r="CK142" s="403"/>
      <c r="CL142" s="403"/>
      <c r="CM142" s="403"/>
      <c r="CN142" s="403"/>
      <c r="CO142" s="403"/>
      <c r="CP142" s="403"/>
      <c r="CQ142" s="403"/>
      <c r="CR142" s="403"/>
      <c r="CS142" s="403"/>
      <c r="CT142" s="403"/>
      <c r="CU142" s="403"/>
      <c r="CV142" s="403"/>
      <c r="CW142" s="403"/>
      <c r="CX142" s="403"/>
      <c r="CY142" s="403"/>
      <c r="CZ142" s="403"/>
      <c r="DA142" s="403"/>
      <c r="DB142" s="403"/>
      <c r="DC142" s="403"/>
      <c r="DD142" s="403"/>
      <c r="DE142" s="403"/>
      <c r="DF142" s="403"/>
      <c r="DG142" s="403"/>
      <c r="DH142" s="403"/>
      <c r="DI142" s="403"/>
      <c r="DJ142" s="403"/>
      <c r="DK142" s="403"/>
      <c r="DL142" s="403"/>
      <c r="DM142" s="403"/>
      <c r="DN142" s="403"/>
      <c r="DO142" s="403"/>
      <c r="DP142" s="403"/>
      <c r="DQ142" s="403"/>
      <c r="DR142" s="403"/>
      <c r="DS142" s="403"/>
      <c r="DT142" s="403"/>
      <c r="DU142" s="403"/>
      <c r="DV142" s="403"/>
      <c r="DW142" s="403"/>
      <c r="DX142" s="403"/>
      <c r="DY142" s="403"/>
      <c r="DZ142" s="403"/>
      <c r="EA142" s="403"/>
      <c r="EB142" s="403"/>
      <c r="EC142" s="403"/>
      <c r="ED142" s="403"/>
      <c r="EE142" s="403"/>
      <c r="EF142" s="403"/>
      <c r="EG142" s="403"/>
      <c r="EH142" s="403"/>
      <c r="EI142" s="403"/>
      <c r="EJ142" s="403"/>
      <c r="EK142" s="403"/>
      <c r="EL142" s="403"/>
      <c r="EM142" s="403"/>
      <c r="EN142" s="403"/>
      <c r="EO142" s="403"/>
      <c r="EP142" s="403"/>
      <c r="EQ142" s="403"/>
      <c r="ER142" s="403"/>
      <c r="ES142" s="403"/>
      <c r="ET142" s="403"/>
      <c r="EU142" s="403"/>
      <c r="EV142" s="403"/>
      <c r="EW142" s="403"/>
      <c r="EX142" s="403"/>
      <c r="EY142" s="403"/>
      <c r="EZ142" s="403"/>
      <c r="FA142" s="403"/>
      <c r="FB142" s="403"/>
      <c r="FC142" s="403"/>
      <c r="FD142" s="403"/>
      <c r="FE142" s="403"/>
      <c r="FF142" s="403"/>
      <c r="FG142" s="403"/>
      <c r="FH142" s="403"/>
    </row>
    <row r="143" spans="1:164" s="84" customFormat="1" ht="15">
      <c r="A143" s="407">
        <f t="shared" si="61"/>
        <v>174</v>
      </c>
      <c r="B143" s="404" t="s">
        <v>636</v>
      </c>
      <c r="C143" s="211" t="s">
        <v>226</v>
      </c>
      <c r="D143" s="211"/>
      <c r="E143" s="1050">
        <f t="shared" si="62"/>
        <v>0</v>
      </c>
      <c r="F143" s="1064"/>
      <c r="G143" s="1065"/>
      <c r="H143" s="1305"/>
      <c r="I143" s="1306"/>
      <c r="J143" s="1307"/>
      <c r="K143" s="873"/>
      <c r="L143" s="314"/>
      <c r="P143" s="804"/>
      <c r="Q143" s="804"/>
      <c r="R143" s="804"/>
      <c r="S143" s="804"/>
      <c r="T143" s="804"/>
      <c r="U143" s="804"/>
      <c r="V143" s="804"/>
      <c r="W143" s="804"/>
      <c r="X143" s="315"/>
      <c r="Y143" s="315"/>
      <c r="Z143" s="804"/>
      <c r="AA143" s="804"/>
      <c r="AB143" s="804"/>
      <c r="AC143" s="804"/>
      <c r="AD143" s="804"/>
      <c r="AE143" s="804"/>
      <c r="AF143" s="804"/>
      <c r="AG143" s="804"/>
      <c r="AH143" s="804"/>
      <c r="AI143" s="804"/>
      <c r="AJ143" s="804"/>
      <c r="AK143" s="804"/>
      <c r="AL143" s="804"/>
      <c r="AM143" s="804"/>
      <c r="AN143" s="804"/>
      <c r="AO143" s="804"/>
      <c r="AP143" s="804"/>
      <c r="AQ143" s="804"/>
      <c r="AR143" s="804"/>
      <c r="AS143" s="804"/>
      <c r="AT143" s="804"/>
      <c r="AU143" s="804"/>
      <c r="AV143" s="804"/>
      <c r="AW143" s="804"/>
      <c r="AX143" s="804"/>
      <c r="AY143" s="804"/>
      <c r="AZ143" s="804"/>
      <c r="BA143" s="804"/>
      <c r="BB143" s="804"/>
      <c r="BC143" s="804"/>
      <c r="BD143" s="804"/>
      <c r="BE143" s="804"/>
      <c r="BF143" s="953"/>
      <c r="BG143" s="953"/>
      <c r="BH143" s="953"/>
      <c r="BI143" s="804"/>
      <c r="BJ143" s="804"/>
      <c r="BK143" s="804"/>
      <c r="BL143" s="804"/>
      <c r="BM143" s="804"/>
      <c r="BN143" s="804"/>
      <c r="BO143" s="804"/>
      <c r="BP143" s="804"/>
      <c r="BQ143" s="804"/>
      <c r="BR143" s="804"/>
      <c r="BS143" s="953"/>
      <c r="BT143" s="953"/>
      <c r="BU143" s="953"/>
      <c r="BV143" s="804"/>
      <c r="BW143" s="403"/>
      <c r="BX143" s="403"/>
      <c r="BY143" s="403"/>
      <c r="BZ143" s="403"/>
      <c r="CA143" s="403"/>
      <c r="CB143" s="403"/>
      <c r="CC143" s="403"/>
      <c r="CD143" s="403"/>
      <c r="CE143" s="403"/>
      <c r="CF143" s="403"/>
      <c r="CG143" s="403"/>
      <c r="CH143" s="403"/>
      <c r="CI143" s="403"/>
      <c r="CJ143" s="403"/>
      <c r="CK143" s="403"/>
      <c r="CL143" s="403"/>
      <c r="CM143" s="403"/>
      <c r="CN143" s="403"/>
      <c r="CO143" s="403"/>
      <c r="CP143" s="403"/>
      <c r="CQ143" s="403"/>
      <c r="CR143" s="403"/>
      <c r="CS143" s="403"/>
      <c r="CT143" s="403"/>
      <c r="CU143" s="403"/>
      <c r="CV143" s="403"/>
      <c r="CW143" s="403"/>
      <c r="CX143" s="403"/>
      <c r="CY143" s="403"/>
      <c r="CZ143" s="403"/>
      <c r="DA143" s="403"/>
      <c r="DB143" s="403"/>
      <c r="DC143" s="403"/>
      <c r="DD143" s="403"/>
      <c r="DE143" s="403"/>
      <c r="DF143" s="403"/>
      <c r="DG143" s="403"/>
      <c r="DH143" s="403"/>
      <c r="DI143" s="403"/>
      <c r="DJ143" s="403"/>
      <c r="DK143" s="403"/>
      <c r="DL143" s="403"/>
      <c r="DM143" s="403"/>
      <c r="DN143" s="403"/>
      <c r="DO143" s="403"/>
      <c r="DP143" s="403"/>
      <c r="DQ143" s="403"/>
      <c r="DR143" s="403"/>
      <c r="DS143" s="403"/>
      <c r="DT143" s="403"/>
      <c r="DU143" s="403"/>
      <c r="DV143" s="403"/>
      <c r="DW143" s="403"/>
      <c r="DX143" s="403"/>
      <c r="DY143" s="403"/>
      <c r="DZ143" s="403"/>
      <c r="EA143" s="403"/>
      <c r="EB143" s="403"/>
      <c r="EC143" s="403"/>
      <c r="ED143" s="403"/>
      <c r="EE143" s="403"/>
      <c r="EF143" s="403"/>
      <c r="EG143" s="403"/>
      <c r="EH143" s="403"/>
      <c r="EI143" s="403"/>
      <c r="EJ143" s="403"/>
      <c r="EK143" s="403"/>
      <c r="EL143" s="403"/>
      <c r="EM143" s="403"/>
      <c r="EN143" s="403"/>
      <c r="EO143" s="403"/>
      <c r="EP143" s="403"/>
      <c r="EQ143" s="403"/>
      <c r="ER143" s="403"/>
      <c r="ES143" s="403"/>
      <c r="ET143" s="403"/>
      <c r="EU143" s="403"/>
      <c r="EV143" s="403"/>
      <c r="EW143" s="403"/>
      <c r="EX143" s="403"/>
      <c r="EY143" s="403"/>
      <c r="EZ143" s="403"/>
      <c r="FA143" s="403"/>
      <c r="FB143" s="403"/>
      <c r="FC143" s="403"/>
      <c r="FD143" s="403"/>
      <c r="FE143" s="403"/>
      <c r="FF143" s="403"/>
      <c r="FG143" s="403"/>
      <c r="FH143" s="403"/>
    </row>
    <row r="144" spans="1:164" s="84" customFormat="1" ht="15">
      <c r="A144" s="407">
        <f t="shared" si="61"/>
        <v>175</v>
      </c>
      <c r="B144" s="404" t="s">
        <v>636</v>
      </c>
      <c r="C144" s="211" t="s">
        <v>1285</v>
      </c>
      <c r="D144" s="211"/>
      <c r="E144" s="1050">
        <f t="shared" si="62"/>
        <v>0</v>
      </c>
      <c r="F144" s="1064"/>
      <c r="G144" s="1065"/>
      <c r="H144" s="1305"/>
      <c r="I144" s="1306"/>
      <c r="J144" s="1307"/>
      <c r="K144" s="873"/>
      <c r="L144" s="314"/>
      <c r="P144" s="804"/>
      <c r="Q144" s="804"/>
      <c r="R144" s="804"/>
      <c r="S144" s="804"/>
      <c r="T144" s="804"/>
      <c r="U144" s="804"/>
      <c r="V144" s="804"/>
      <c r="W144" s="804"/>
      <c r="X144" s="315"/>
      <c r="Y144" s="315"/>
      <c r="Z144" s="804"/>
      <c r="AA144" s="804"/>
      <c r="AB144" s="804"/>
      <c r="AC144" s="804"/>
      <c r="AD144" s="804"/>
      <c r="AE144" s="804"/>
      <c r="AF144" s="804"/>
      <c r="AG144" s="804"/>
      <c r="AH144" s="804"/>
      <c r="AI144" s="804"/>
      <c r="AJ144" s="804"/>
      <c r="AK144" s="804"/>
      <c r="AL144" s="804"/>
      <c r="AM144" s="804"/>
      <c r="AN144" s="804"/>
      <c r="AO144" s="804"/>
      <c r="AP144" s="804"/>
      <c r="AQ144" s="804"/>
      <c r="AR144" s="804"/>
      <c r="AS144" s="804"/>
      <c r="AT144" s="804"/>
      <c r="AU144" s="804"/>
      <c r="AV144" s="804"/>
      <c r="AW144" s="804"/>
      <c r="AX144" s="804"/>
      <c r="AY144" s="804"/>
      <c r="AZ144" s="804"/>
      <c r="BA144" s="804"/>
      <c r="BB144" s="804"/>
      <c r="BC144" s="804"/>
      <c r="BD144" s="804"/>
      <c r="BE144" s="804"/>
      <c r="BF144" s="953"/>
      <c r="BG144" s="953"/>
      <c r="BH144" s="953"/>
      <c r="BI144" s="804"/>
      <c r="BJ144" s="804"/>
      <c r="BK144" s="804"/>
      <c r="BL144" s="804"/>
      <c r="BM144" s="804"/>
      <c r="BN144" s="804"/>
      <c r="BO144" s="804"/>
      <c r="BP144" s="804"/>
      <c r="BQ144" s="804"/>
      <c r="BR144" s="804"/>
      <c r="BS144" s="953"/>
      <c r="BT144" s="953"/>
      <c r="BU144" s="953"/>
      <c r="BV144" s="804"/>
      <c r="BW144" s="403"/>
      <c r="BX144" s="403"/>
      <c r="BY144" s="403"/>
      <c r="BZ144" s="403"/>
      <c r="CA144" s="403"/>
      <c r="CB144" s="403"/>
      <c r="CC144" s="403"/>
      <c r="CD144" s="403"/>
      <c r="CE144" s="403"/>
      <c r="CF144" s="403"/>
      <c r="CG144" s="403"/>
      <c r="CH144" s="403"/>
      <c r="CI144" s="403"/>
      <c r="CJ144" s="403"/>
      <c r="CK144" s="403"/>
      <c r="CL144" s="403"/>
      <c r="CM144" s="403"/>
      <c r="CN144" s="403"/>
      <c r="CO144" s="403"/>
      <c r="CP144" s="403"/>
      <c r="CQ144" s="403"/>
      <c r="CR144" s="403"/>
      <c r="CS144" s="403"/>
      <c r="CT144" s="403"/>
      <c r="CU144" s="403"/>
      <c r="CV144" s="403"/>
      <c r="CW144" s="403"/>
      <c r="CX144" s="403"/>
      <c r="CY144" s="403"/>
      <c r="CZ144" s="403"/>
      <c r="DA144" s="403"/>
      <c r="DB144" s="403"/>
      <c r="DC144" s="403"/>
      <c r="DD144" s="403"/>
      <c r="DE144" s="403"/>
      <c r="DF144" s="403"/>
      <c r="DG144" s="403"/>
      <c r="DH144" s="403"/>
      <c r="DI144" s="403"/>
      <c r="DJ144" s="403"/>
      <c r="DK144" s="403"/>
      <c r="DL144" s="403"/>
      <c r="DM144" s="403"/>
      <c r="DN144" s="403"/>
      <c r="DO144" s="403"/>
      <c r="DP144" s="403"/>
      <c r="DQ144" s="403"/>
      <c r="DR144" s="403"/>
      <c r="DS144" s="403"/>
      <c r="DT144" s="403"/>
      <c r="DU144" s="403"/>
      <c r="DV144" s="403"/>
      <c r="DW144" s="403"/>
      <c r="DX144" s="403"/>
      <c r="DY144" s="403"/>
      <c r="DZ144" s="403"/>
      <c r="EA144" s="403"/>
      <c r="EB144" s="403"/>
      <c r="EC144" s="403"/>
      <c r="ED144" s="403"/>
      <c r="EE144" s="403"/>
      <c r="EF144" s="403"/>
      <c r="EG144" s="403"/>
      <c r="EH144" s="403"/>
      <c r="EI144" s="403"/>
      <c r="EJ144" s="403"/>
      <c r="EK144" s="403"/>
      <c r="EL144" s="403"/>
      <c r="EM144" s="403"/>
      <c r="EN144" s="403"/>
      <c r="EO144" s="403"/>
      <c r="EP144" s="403"/>
      <c r="EQ144" s="403"/>
      <c r="ER144" s="403"/>
      <c r="ES144" s="403"/>
      <c r="ET144" s="403"/>
      <c r="EU144" s="403"/>
      <c r="EV144" s="403"/>
      <c r="EW144" s="403"/>
      <c r="EX144" s="403"/>
      <c r="EY144" s="403"/>
      <c r="EZ144" s="403"/>
      <c r="FA144" s="403"/>
      <c r="FB144" s="403"/>
      <c r="FC144" s="403"/>
      <c r="FD144" s="403"/>
      <c r="FE144" s="403"/>
      <c r="FF144" s="403"/>
      <c r="FG144" s="403"/>
      <c r="FH144" s="403"/>
    </row>
    <row r="145" spans="1:164" s="84" customFormat="1" ht="15">
      <c r="A145" s="407">
        <f t="shared" si="61"/>
        <v>176</v>
      </c>
      <c r="B145" s="404" t="s">
        <v>636</v>
      </c>
      <c r="C145" s="211" t="s">
        <v>1290</v>
      </c>
      <c r="D145" s="211"/>
      <c r="E145" s="1050">
        <f t="shared" si="62"/>
        <v>0</v>
      </c>
      <c r="F145" s="1064"/>
      <c r="G145" s="1065"/>
      <c r="H145" s="1305"/>
      <c r="I145" s="1306"/>
      <c r="J145" s="1307"/>
      <c r="K145" s="873"/>
      <c r="L145" s="314"/>
      <c r="P145" s="804"/>
      <c r="Q145" s="804"/>
      <c r="R145" s="804"/>
      <c r="S145" s="804"/>
      <c r="T145" s="804"/>
      <c r="U145" s="804"/>
      <c r="V145" s="804"/>
      <c r="W145" s="804"/>
      <c r="X145" s="315"/>
      <c r="Y145" s="315"/>
      <c r="Z145" s="804"/>
      <c r="AA145" s="804"/>
      <c r="AB145" s="804"/>
      <c r="AC145" s="804"/>
      <c r="AD145" s="804"/>
      <c r="AE145" s="804"/>
      <c r="AF145" s="804"/>
      <c r="AG145" s="804"/>
      <c r="AH145" s="804"/>
      <c r="AI145" s="804"/>
      <c r="AJ145" s="804"/>
      <c r="AK145" s="804"/>
      <c r="AL145" s="804"/>
      <c r="AM145" s="804"/>
      <c r="AN145" s="804"/>
      <c r="AO145" s="804"/>
      <c r="AP145" s="804"/>
      <c r="AQ145" s="804"/>
      <c r="AR145" s="804"/>
      <c r="AS145" s="804"/>
      <c r="AT145" s="804"/>
      <c r="AU145" s="804"/>
      <c r="AV145" s="804"/>
      <c r="AW145" s="804"/>
      <c r="AX145" s="804"/>
      <c r="AY145" s="804"/>
      <c r="AZ145" s="804"/>
      <c r="BA145" s="804"/>
      <c r="BB145" s="804"/>
      <c r="BC145" s="804"/>
      <c r="BD145" s="804"/>
      <c r="BE145" s="804"/>
      <c r="BF145" s="953"/>
      <c r="BG145" s="953"/>
      <c r="BH145" s="953"/>
      <c r="BI145" s="804"/>
      <c r="BJ145" s="804"/>
      <c r="BK145" s="804"/>
      <c r="BL145" s="804"/>
      <c r="BM145" s="804"/>
      <c r="BN145" s="804"/>
      <c r="BO145" s="804"/>
      <c r="BP145" s="804"/>
      <c r="BQ145" s="804"/>
      <c r="BR145" s="804"/>
      <c r="BS145" s="953"/>
      <c r="BT145" s="953"/>
      <c r="BU145" s="953"/>
      <c r="BV145" s="804"/>
      <c r="BW145" s="403"/>
      <c r="BX145" s="403"/>
      <c r="BY145" s="403"/>
      <c r="BZ145" s="403"/>
      <c r="CA145" s="403"/>
      <c r="CB145" s="403"/>
      <c r="CC145" s="403"/>
      <c r="CD145" s="403"/>
      <c r="CE145" s="403"/>
      <c r="CF145" s="403"/>
      <c r="CG145" s="403"/>
      <c r="CH145" s="403"/>
      <c r="CI145" s="403"/>
      <c r="CJ145" s="403"/>
      <c r="CK145" s="403"/>
      <c r="CL145" s="403"/>
      <c r="CM145" s="403"/>
      <c r="CN145" s="403"/>
      <c r="CO145" s="403"/>
      <c r="CP145" s="403"/>
      <c r="CQ145" s="403"/>
      <c r="CR145" s="403"/>
      <c r="CS145" s="403"/>
      <c r="CT145" s="403"/>
      <c r="CU145" s="403"/>
      <c r="CV145" s="403"/>
      <c r="CW145" s="403"/>
      <c r="CX145" s="403"/>
      <c r="CY145" s="403"/>
      <c r="CZ145" s="403"/>
      <c r="DA145" s="403"/>
      <c r="DB145" s="403"/>
      <c r="DC145" s="403"/>
      <c r="DD145" s="403"/>
      <c r="DE145" s="403"/>
      <c r="DF145" s="403"/>
      <c r="DG145" s="403"/>
      <c r="DH145" s="403"/>
      <c r="DI145" s="403"/>
      <c r="DJ145" s="403"/>
      <c r="DK145" s="403"/>
      <c r="DL145" s="403"/>
      <c r="DM145" s="403"/>
      <c r="DN145" s="403"/>
      <c r="DO145" s="403"/>
      <c r="DP145" s="403"/>
      <c r="DQ145" s="403"/>
      <c r="DR145" s="403"/>
      <c r="DS145" s="403"/>
      <c r="DT145" s="403"/>
      <c r="DU145" s="403"/>
      <c r="DV145" s="403"/>
      <c r="DW145" s="403"/>
      <c r="DX145" s="403"/>
      <c r="DY145" s="403"/>
      <c r="DZ145" s="403"/>
      <c r="EA145" s="403"/>
      <c r="EB145" s="403"/>
      <c r="EC145" s="403"/>
      <c r="ED145" s="403"/>
      <c r="EE145" s="403"/>
      <c r="EF145" s="403"/>
      <c r="EG145" s="403"/>
      <c r="EH145" s="403"/>
      <c r="EI145" s="403"/>
      <c r="EJ145" s="403"/>
      <c r="EK145" s="403"/>
      <c r="EL145" s="403"/>
      <c r="EM145" s="403"/>
      <c r="EN145" s="403"/>
      <c r="EO145" s="403"/>
      <c r="EP145" s="403"/>
      <c r="EQ145" s="403"/>
      <c r="ER145" s="403"/>
      <c r="ES145" s="403"/>
      <c r="ET145" s="403"/>
      <c r="EU145" s="403"/>
      <c r="EV145" s="403"/>
      <c r="EW145" s="403"/>
      <c r="EX145" s="403"/>
      <c r="EY145" s="403"/>
      <c r="EZ145" s="403"/>
      <c r="FA145" s="403"/>
      <c r="FB145" s="403"/>
      <c r="FC145" s="403"/>
      <c r="FD145" s="403"/>
      <c r="FE145" s="403"/>
      <c r="FF145" s="403"/>
      <c r="FG145" s="403"/>
      <c r="FH145" s="403"/>
    </row>
    <row r="146" spans="1:164" s="84" customFormat="1" ht="15">
      <c r="A146" s="407">
        <f t="shared" si="61"/>
        <v>177</v>
      </c>
      <c r="B146" s="404" t="s">
        <v>636</v>
      </c>
      <c r="C146" s="211" t="s">
        <v>1291</v>
      </c>
      <c r="D146" s="211"/>
      <c r="E146" s="1050">
        <f t="shared" si="62"/>
        <v>0</v>
      </c>
      <c r="F146" s="1064"/>
      <c r="G146" s="1065"/>
      <c r="H146" s="1305"/>
      <c r="I146" s="1306"/>
      <c r="J146" s="1307"/>
      <c r="K146" s="873"/>
      <c r="L146" s="314"/>
      <c r="P146" s="804"/>
      <c r="Q146" s="804"/>
      <c r="R146" s="804"/>
      <c r="S146" s="804"/>
      <c r="T146" s="804"/>
      <c r="U146" s="804"/>
      <c r="V146" s="804"/>
      <c r="W146" s="804"/>
      <c r="X146" s="315"/>
      <c r="Y146" s="315"/>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4"/>
      <c r="AY146" s="804"/>
      <c r="AZ146" s="804"/>
      <c r="BA146" s="804"/>
      <c r="BB146" s="804"/>
      <c r="BC146" s="804"/>
      <c r="BD146" s="804"/>
      <c r="BE146" s="804"/>
      <c r="BF146" s="953"/>
      <c r="BG146" s="953"/>
      <c r="BH146" s="953"/>
      <c r="BI146" s="804"/>
      <c r="BJ146" s="804"/>
      <c r="BK146" s="804"/>
      <c r="BL146" s="804"/>
      <c r="BM146" s="804"/>
      <c r="BN146" s="804"/>
      <c r="BO146" s="804"/>
      <c r="BP146" s="804"/>
      <c r="BQ146" s="804"/>
      <c r="BR146" s="804"/>
      <c r="BS146" s="953"/>
      <c r="BT146" s="953"/>
      <c r="BU146" s="953"/>
      <c r="BV146" s="804"/>
      <c r="BW146" s="403"/>
      <c r="BX146" s="403"/>
      <c r="BY146" s="403"/>
      <c r="BZ146" s="403"/>
      <c r="CA146" s="403"/>
      <c r="CB146" s="403"/>
      <c r="CC146" s="403"/>
      <c r="CD146" s="403"/>
      <c r="CE146" s="403"/>
      <c r="CF146" s="403"/>
      <c r="CG146" s="403"/>
      <c r="CH146" s="403"/>
      <c r="CI146" s="403"/>
      <c r="CJ146" s="403"/>
      <c r="CK146" s="403"/>
      <c r="CL146" s="403"/>
      <c r="CM146" s="403"/>
      <c r="CN146" s="403"/>
      <c r="CO146" s="403"/>
      <c r="CP146" s="403"/>
      <c r="CQ146" s="403"/>
      <c r="CR146" s="403"/>
      <c r="CS146" s="403"/>
      <c r="CT146" s="403"/>
      <c r="CU146" s="403"/>
      <c r="CV146" s="403"/>
      <c r="CW146" s="403"/>
      <c r="CX146" s="403"/>
      <c r="CY146" s="403"/>
      <c r="CZ146" s="403"/>
      <c r="DA146" s="403"/>
      <c r="DB146" s="403"/>
      <c r="DC146" s="403"/>
      <c r="DD146" s="403"/>
      <c r="DE146" s="403"/>
      <c r="DF146" s="403"/>
      <c r="DG146" s="403"/>
      <c r="DH146" s="403"/>
      <c r="DI146" s="403"/>
      <c r="DJ146" s="403"/>
      <c r="DK146" s="403"/>
      <c r="DL146" s="403"/>
      <c r="DM146" s="403"/>
      <c r="DN146" s="403"/>
      <c r="DO146" s="403"/>
      <c r="DP146" s="403"/>
      <c r="DQ146" s="403"/>
      <c r="DR146" s="403"/>
      <c r="DS146" s="403"/>
      <c r="DT146" s="403"/>
      <c r="DU146" s="403"/>
      <c r="DV146" s="403"/>
      <c r="DW146" s="403"/>
      <c r="DX146" s="403"/>
      <c r="DY146" s="403"/>
      <c r="DZ146" s="403"/>
      <c r="EA146" s="403"/>
      <c r="EB146" s="403"/>
      <c r="EC146" s="403"/>
      <c r="ED146" s="403"/>
      <c r="EE146" s="403"/>
      <c r="EF146" s="403"/>
      <c r="EG146" s="403"/>
      <c r="EH146" s="403"/>
      <c r="EI146" s="403"/>
      <c r="EJ146" s="403"/>
      <c r="EK146" s="403"/>
      <c r="EL146" s="403"/>
      <c r="EM146" s="403"/>
      <c r="EN146" s="403"/>
      <c r="EO146" s="403"/>
      <c r="EP146" s="403"/>
      <c r="EQ146" s="403"/>
      <c r="ER146" s="403"/>
      <c r="ES146" s="403"/>
      <c r="ET146" s="403"/>
      <c r="EU146" s="403"/>
      <c r="EV146" s="403"/>
      <c r="EW146" s="403"/>
      <c r="EX146" s="403"/>
      <c r="EY146" s="403"/>
      <c r="EZ146" s="403"/>
      <c r="FA146" s="403"/>
      <c r="FB146" s="403"/>
      <c r="FC146" s="403"/>
      <c r="FD146" s="403"/>
      <c r="FE146" s="403"/>
      <c r="FF146" s="403"/>
      <c r="FG146" s="403"/>
      <c r="FH146" s="403"/>
    </row>
    <row r="147" spans="1:164" s="84" customFormat="1" ht="15">
      <c r="A147" s="407">
        <f t="shared" si="61"/>
        <v>178</v>
      </c>
      <c r="B147" s="404" t="s">
        <v>636</v>
      </c>
      <c r="C147" s="211" t="s">
        <v>1292</v>
      </c>
      <c r="D147" s="211"/>
      <c r="E147" s="1050">
        <f t="shared" si="62"/>
        <v>0</v>
      </c>
      <c r="F147" s="1064"/>
      <c r="G147" s="1065"/>
      <c r="H147" s="1305"/>
      <c r="I147" s="1306"/>
      <c r="J147" s="1307"/>
      <c r="K147" s="873"/>
      <c r="L147" s="314"/>
      <c r="P147" s="804"/>
      <c r="Q147" s="804"/>
      <c r="R147" s="804"/>
      <c r="S147" s="804"/>
      <c r="T147" s="804"/>
      <c r="U147" s="804"/>
      <c r="V147" s="804"/>
      <c r="W147" s="804"/>
      <c r="X147" s="315"/>
      <c r="Y147" s="315"/>
      <c r="Z147" s="804"/>
      <c r="AA147" s="804"/>
      <c r="AB147" s="804"/>
      <c r="AC147" s="804"/>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4"/>
      <c r="AY147" s="804"/>
      <c r="AZ147" s="804"/>
      <c r="BA147" s="804"/>
      <c r="BB147" s="804"/>
      <c r="BC147" s="804"/>
      <c r="BD147" s="804"/>
      <c r="BE147" s="804"/>
      <c r="BF147" s="953"/>
      <c r="BG147" s="953"/>
      <c r="BH147" s="953"/>
      <c r="BI147" s="804"/>
      <c r="BJ147" s="804"/>
      <c r="BK147" s="804"/>
      <c r="BL147" s="804"/>
      <c r="BM147" s="804"/>
      <c r="BN147" s="804"/>
      <c r="BO147" s="804"/>
      <c r="BP147" s="804"/>
      <c r="BQ147" s="804"/>
      <c r="BR147" s="804"/>
      <c r="BS147" s="953"/>
      <c r="BT147" s="953"/>
      <c r="BU147" s="953"/>
      <c r="BV147" s="804"/>
      <c r="BW147" s="403"/>
      <c r="BX147" s="403"/>
      <c r="BY147" s="403"/>
      <c r="BZ147" s="403"/>
      <c r="CA147" s="403"/>
      <c r="CB147" s="403"/>
      <c r="CC147" s="403"/>
      <c r="CD147" s="403"/>
      <c r="CE147" s="403"/>
      <c r="CF147" s="403"/>
      <c r="CG147" s="403"/>
      <c r="CH147" s="403"/>
      <c r="CI147" s="403"/>
      <c r="CJ147" s="403"/>
      <c r="CK147" s="403"/>
      <c r="CL147" s="403"/>
      <c r="CM147" s="403"/>
      <c r="CN147" s="403"/>
      <c r="CO147" s="403"/>
      <c r="CP147" s="403"/>
      <c r="CQ147" s="403"/>
      <c r="CR147" s="403"/>
      <c r="CS147" s="403"/>
      <c r="CT147" s="403"/>
      <c r="CU147" s="403"/>
      <c r="CV147" s="403"/>
      <c r="CW147" s="403"/>
      <c r="CX147" s="403"/>
      <c r="CY147" s="403"/>
      <c r="CZ147" s="403"/>
      <c r="DA147" s="403"/>
      <c r="DB147" s="403"/>
      <c r="DC147" s="403"/>
      <c r="DD147" s="403"/>
      <c r="DE147" s="403"/>
      <c r="DF147" s="403"/>
      <c r="DG147" s="403"/>
      <c r="DH147" s="403"/>
      <c r="DI147" s="403"/>
      <c r="DJ147" s="403"/>
      <c r="DK147" s="403"/>
      <c r="DL147" s="403"/>
      <c r="DM147" s="403"/>
      <c r="DN147" s="403"/>
      <c r="DO147" s="403"/>
      <c r="DP147" s="403"/>
      <c r="DQ147" s="403"/>
      <c r="DR147" s="403"/>
      <c r="DS147" s="403"/>
      <c r="DT147" s="403"/>
      <c r="DU147" s="403"/>
      <c r="DV147" s="403"/>
      <c r="DW147" s="403"/>
      <c r="DX147" s="403"/>
      <c r="DY147" s="403"/>
      <c r="DZ147" s="403"/>
      <c r="EA147" s="403"/>
      <c r="EB147" s="403"/>
      <c r="EC147" s="403"/>
      <c r="ED147" s="403"/>
      <c r="EE147" s="403"/>
      <c r="EF147" s="403"/>
      <c r="EG147" s="403"/>
      <c r="EH147" s="403"/>
      <c r="EI147" s="403"/>
      <c r="EJ147" s="403"/>
      <c r="EK147" s="403"/>
      <c r="EL147" s="403"/>
      <c r="EM147" s="403"/>
      <c r="EN147" s="403"/>
      <c r="EO147" s="403"/>
      <c r="EP147" s="403"/>
      <c r="EQ147" s="403"/>
      <c r="ER147" s="403"/>
      <c r="ES147" s="403"/>
      <c r="ET147" s="403"/>
      <c r="EU147" s="403"/>
      <c r="EV147" s="403"/>
      <c r="EW147" s="403"/>
      <c r="EX147" s="403"/>
      <c r="EY147" s="403"/>
      <c r="EZ147" s="403"/>
      <c r="FA147" s="403"/>
      <c r="FB147" s="403"/>
      <c r="FC147" s="403"/>
      <c r="FD147" s="403"/>
      <c r="FE147" s="403"/>
      <c r="FF147" s="403"/>
      <c r="FG147" s="403"/>
      <c r="FH147" s="403"/>
    </row>
    <row r="148" spans="1:164" s="84" customFormat="1" ht="15">
      <c r="A148" s="407">
        <f t="shared" si="61"/>
        <v>179</v>
      </c>
      <c r="B148" s="404" t="s">
        <v>636</v>
      </c>
      <c r="C148" s="211" t="s">
        <v>1293</v>
      </c>
      <c r="D148" s="211"/>
      <c r="E148" s="1050">
        <f t="shared" si="62"/>
        <v>0</v>
      </c>
      <c r="F148" s="1064"/>
      <c r="G148" s="1065"/>
      <c r="H148" s="1305"/>
      <c r="I148" s="1306"/>
      <c r="J148" s="1307"/>
      <c r="K148" s="873"/>
      <c r="L148" s="323"/>
      <c r="P148" s="804"/>
      <c r="Q148" s="804"/>
      <c r="R148" s="804"/>
      <c r="S148" s="804"/>
      <c r="T148" s="804"/>
      <c r="U148" s="804"/>
      <c r="V148" s="804"/>
      <c r="W148" s="804"/>
      <c r="X148" s="315"/>
      <c r="Y148" s="315"/>
      <c r="Z148" s="804"/>
      <c r="AA148" s="804"/>
      <c r="AB148" s="804"/>
      <c r="AC148" s="804"/>
      <c r="AD148" s="804"/>
      <c r="AE148" s="804"/>
      <c r="AF148" s="804"/>
      <c r="AG148" s="804"/>
      <c r="AH148" s="804"/>
      <c r="AI148" s="804"/>
      <c r="AJ148" s="804"/>
      <c r="AK148" s="804"/>
      <c r="AL148" s="804"/>
      <c r="AM148" s="804"/>
      <c r="AN148" s="804"/>
      <c r="AO148" s="804"/>
      <c r="AP148" s="804"/>
      <c r="AQ148" s="804"/>
      <c r="AR148" s="804"/>
      <c r="AS148" s="804"/>
      <c r="AT148" s="804"/>
      <c r="AU148" s="804"/>
      <c r="AV148" s="804"/>
      <c r="AW148" s="804"/>
      <c r="AX148" s="804"/>
      <c r="AY148" s="804"/>
      <c r="AZ148" s="804"/>
      <c r="BA148" s="804"/>
      <c r="BB148" s="804"/>
      <c r="BC148" s="804"/>
      <c r="BD148" s="804"/>
      <c r="BE148" s="804"/>
      <c r="BF148" s="953"/>
      <c r="BG148" s="953"/>
      <c r="BH148" s="953"/>
      <c r="BI148" s="804"/>
      <c r="BJ148" s="804"/>
      <c r="BK148" s="804"/>
      <c r="BL148" s="804"/>
      <c r="BM148" s="804"/>
      <c r="BN148" s="804"/>
      <c r="BO148" s="804"/>
      <c r="BP148" s="804"/>
      <c r="BQ148" s="804"/>
      <c r="BR148" s="804"/>
      <c r="BS148" s="953"/>
      <c r="BT148" s="953"/>
      <c r="BU148" s="953"/>
      <c r="BV148" s="804"/>
      <c r="BW148" s="403"/>
      <c r="BX148" s="403"/>
      <c r="BY148" s="403"/>
      <c r="BZ148" s="403"/>
      <c r="CA148" s="403"/>
      <c r="CB148" s="403"/>
      <c r="CC148" s="403"/>
      <c r="CD148" s="403"/>
      <c r="CE148" s="403"/>
      <c r="CF148" s="403"/>
      <c r="CG148" s="403"/>
      <c r="CH148" s="403"/>
      <c r="CI148" s="403"/>
      <c r="CJ148" s="403"/>
      <c r="CK148" s="403"/>
      <c r="CL148" s="403"/>
      <c r="CM148" s="403"/>
      <c r="CN148" s="403"/>
      <c r="CO148" s="403"/>
      <c r="CP148" s="403"/>
      <c r="CQ148" s="403"/>
      <c r="CR148" s="403"/>
      <c r="CS148" s="403"/>
      <c r="CT148" s="403"/>
      <c r="CU148" s="403"/>
      <c r="CV148" s="403"/>
      <c r="CW148" s="403"/>
      <c r="CX148" s="403"/>
      <c r="CY148" s="403"/>
      <c r="CZ148" s="403"/>
      <c r="DA148" s="403"/>
      <c r="DB148" s="403"/>
      <c r="DC148" s="403"/>
      <c r="DD148" s="403"/>
      <c r="DE148" s="403"/>
      <c r="DF148" s="403"/>
      <c r="DG148" s="403"/>
      <c r="DH148" s="403"/>
      <c r="DI148" s="403"/>
      <c r="DJ148" s="403"/>
      <c r="DK148" s="403"/>
      <c r="DL148" s="403"/>
      <c r="DM148" s="403"/>
      <c r="DN148" s="403"/>
      <c r="DO148" s="403"/>
      <c r="DP148" s="403"/>
      <c r="DQ148" s="403"/>
      <c r="DR148" s="403"/>
      <c r="DS148" s="403"/>
      <c r="DT148" s="403"/>
      <c r="DU148" s="403"/>
      <c r="DV148" s="403"/>
      <c r="DW148" s="403"/>
      <c r="DX148" s="403"/>
      <c r="DY148" s="403"/>
      <c r="DZ148" s="403"/>
      <c r="EA148" s="403"/>
      <c r="EB148" s="403"/>
      <c r="EC148" s="403"/>
      <c r="ED148" s="403"/>
      <c r="EE148" s="403"/>
      <c r="EF148" s="403"/>
      <c r="EG148" s="403"/>
      <c r="EH148" s="403"/>
      <c r="EI148" s="403"/>
      <c r="EJ148" s="403"/>
      <c r="EK148" s="403"/>
      <c r="EL148" s="403"/>
      <c r="EM148" s="403"/>
      <c r="EN148" s="403"/>
      <c r="EO148" s="403"/>
      <c r="EP148" s="403"/>
      <c r="EQ148" s="403"/>
      <c r="ER148" s="403"/>
      <c r="ES148" s="403"/>
      <c r="ET148" s="403"/>
      <c r="EU148" s="403"/>
      <c r="EV148" s="403"/>
      <c r="EW148" s="403"/>
      <c r="EX148" s="403"/>
      <c r="EY148" s="403"/>
      <c r="EZ148" s="403"/>
      <c r="FA148" s="403"/>
      <c r="FB148" s="403"/>
      <c r="FC148" s="403"/>
      <c r="FD148" s="403"/>
      <c r="FE148" s="403"/>
      <c r="FF148" s="403"/>
      <c r="FG148" s="403"/>
      <c r="FH148" s="403"/>
    </row>
    <row r="149" spans="1:164" s="84" customFormat="1" ht="15">
      <c r="A149" s="407">
        <f t="shared" si="61"/>
        <v>180</v>
      </c>
      <c r="B149" s="404" t="s">
        <v>636</v>
      </c>
      <c r="C149" s="211" t="s">
        <v>1294</v>
      </c>
      <c r="D149" s="211"/>
      <c r="E149" s="1050">
        <f t="shared" si="62"/>
        <v>0</v>
      </c>
      <c r="F149" s="1064"/>
      <c r="G149" s="1065"/>
      <c r="H149" s="1305"/>
      <c r="I149" s="1306"/>
      <c r="J149" s="1307"/>
      <c r="K149" s="873"/>
      <c r="L149" s="323"/>
      <c r="P149" s="804"/>
      <c r="Q149" s="804"/>
      <c r="R149" s="804"/>
      <c r="S149" s="804"/>
      <c r="T149" s="804"/>
      <c r="U149" s="804"/>
      <c r="V149" s="804"/>
      <c r="W149" s="804"/>
      <c r="X149" s="315"/>
      <c r="Y149" s="315"/>
      <c r="Z149" s="804"/>
      <c r="AA149" s="804"/>
      <c r="AB149" s="804"/>
      <c r="AC149" s="804"/>
      <c r="AD149" s="804"/>
      <c r="AE149" s="804"/>
      <c r="AF149" s="804"/>
      <c r="AG149" s="804"/>
      <c r="AH149" s="804"/>
      <c r="AI149" s="804"/>
      <c r="AJ149" s="804"/>
      <c r="AK149" s="804"/>
      <c r="AL149" s="804"/>
      <c r="AM149" s="804"/>
      <c r="AN149" s="804"/>
      <c r="AO149" s="804"/>
      <c r="AP149" s="804"/>
      <c r="AQ149" s="804"/>
      <c r="AR149" s="804"/>
      <c r="AS149" s="804"/>
      <c r="AT149" s="804"/>
      <c r="AU149" s="804"/>
      <c r="AV149" s="804"/>
      <c r="AW149" s="804"/>
      <c r="AX149" s="804"/>
      <c r="AY149" s="804"/>
      <c r="AZ149" s="804"/>
      <c r="BA149" s="804"/>
      <c r="BB149" s="804"/>
      <c r="BC149" s="804"/>
      <c r="BD149" s="804"/>
      <c r="BE149" s="804"/>
      <c r="BF149" s="953"/>
      <c r="BG149" s="953"/>
      <c r="BH149" s="953"/>
      <c r="BI149" s="804"/>
      <c r="BJ149" s="804"/>
      <c r="BK149" s="804"/>
      <c r="BL149" s="804"/>
      <c r="BM149" s="804"/>
      <c r="BN149" s="804"/>
      <c r="BO149" s="804"/>
      <c r="BP149" s="804"/>
      <c r="BQ149" s="804"/>
      <c r="BR149" s="804"/>
      <c r="BS149" s="953"/>
      <c r="BT149" s="953"/>
      <c r="BU149" s="953"/>
      <c r="BV149" s="804"/>
      <c r="BW149" s="403"/>
      <c r="BX149" s="403"/>
      <c r="BY149" s="403"/>
      <c r="BZ149" s="403"/>
      <c r="CA149" s="403"/>
      <c r="CB149" s="403"/>
      <c r="CC149" s="403"/>
      <c r="CD149" s="403"/>
      <c r="CE149" s="403"/>
      <c r="CF149" s="403"/>
      <c r="CG149" s="403"/>
      <c r="CH149" s="403"/>
      <c r="CI149" s="403"/>
      <c r="CJ149" s="403"/>
      <c r="CK149" s="403"/>
      <c r="CL149" s="403"/>
      <c r="CM149" s="403"/>
      <c r="CN149" s="403"/>
      <c r="CO149" s="403"/>
      <c r="CP149" s="403"/>
      <c r="CQ149" s="403"/>
      <c r="CR149" s="403"/>
      <c r="CS149" s="403"/>
      <c r="CT149" s="403"/>
      <c r="CU149" s="403"/>
      <c r="CV149" s="403"/>
      <c r="CW149" s="403"/>
      <c r="CX149" s="403"/>
      <c r="CY149" s="403"/>
      <c r="CZ149" s="403"/>
      <c r="DA149" s="403"/>
      <c r="DB149" s="403"/>
      <c r="DC149" s="403"/>
      <c r="DD149" s="403"/>
      <c r="DE149" s="403"/>
      <c r="DF149" s="403"/>
      <c r="DG149" s="403"/>
      <c r="DH149" s="403"/>
      <c r="DI149" s="403"/>
      <c r="DJ149" s="403"/>
      <c r="DK149" s="403"/>
      <c r="DL149" s="403"/>
      <c r="DM149" s="403"/>
      <c r="DN149" s="403"/>
      <c r="DO149" s="403"/>
      <c r="DP149" s="403"/>
      <c r="DQ149" s="403"/>
      <c r="DR149" s="403"/>
      <c r="DS149" s="403"/>
      <c r="DT149" s="403"/>
      <c r="DU149" s="403"/>
      <c r="DV149" s="403"/>
      <c r="DW149" s="403"/>
      <c r="DX149" s="403"/>
      <c r="DY149" s="403"/>
      <c r="DZ149" s="403"/>
      <c r="EA149" s="403"/>
      <c r="EB149" s="403"/>
      <c r="EC149" s="403"/>
      <c r="ED149" s="403"/>
      <c r="EE149" s="403"/>
      <c r="EF149" s="403"/>
      <c r="EG149" s="403"/>
      <c r="EH149" s="403"/>
      <c r="EI149" s="403"/>
      <c r="EJ149" s="403"/>
      <c r="EK149" s="403"/>
      <c r="EL149" s="403"/>
      <c r="EM149" s="403"/>
      <c r="EN149" s="403"/>
      <c r="EO149" s="403"/>
      <c r="EP149" s="403"/>
      <c r="EQ149" s="403"/>
      <c r="ER149" s="403"/>
      <c r="ES149" s="403"/>
      <c r="ET149" s="403"/>
      <c r="EU149" s="403"/>
      <c r="EV149" s="403"/>
      <c r="EW149" s="403"/>
      <c r="EX149" s="403"/>
      <c r="EY149" s="403"/>
      <c r="EZ149" s="403"/>
      <c r="FA149" s="403"/>
      <c r="FB149" s="403"/>
      <c r="FC149" s="403"/>
      <c r="FD149" s="403"/>
      <c r="FE149" s="403"/>
      <c r="FF149" s="403"/>
      <c r="FG149" s="403"/>
      <c r="FH149" s="403"/>
    </row>
    <row r="150" spans="1:164" s="84" customFormat="1" ht="15">
      <c r="A150" s="407">
        <f t="shared" si="61"/>
        <v>181</v>
      </c>
      <c r="B150" s="404" t="s">
        <v>636</v>
      </c>
      <c r="C150" s="211" t="s">
        <v>1302</v>
      </c>
      <c r="D150" s="211"/>
      <c r="E150" s="1050">
        <f t="shared" si="62"/>
        <v>0</v>
      </c>
      <c r="F150" s="1064"/>
      <c r="G150" s="1065"/>
      <c r="H150" s="1305"/>
      <c r="I150" s="1306"/>
      <c r="J150" s="1307"/>
      <c r="K150" s="873"/>
      <c r="L150" s="314"/>
      <c r="P150" s="804"/>
      <c r="Q150" s="804"/>
      <c r="R150" s="804"/>
      <c r="S150" s="804"/>
      <c r="T150" s="804"/>
      <c r="U150" s="804"/>
      <c r="V150" s="804"/>
      <c r="W150" s="804"/>
      <c r="X150" s="315"/>
      <c r="Y150" s="315"/>
      <c r="Z150" s="804"/>
      <c r="AA150" s="804"/>
      <c r="AB150" s="804"/>
      <c r="AC150" s="804"/>
      <c r="AD150" s="804"/>
      <c r="AE150" s="804"/>
      <c r="AF150" s="804"/>
      <c r="AG150" s="804"/>
      <c r="AH150" s="804"/>
      <c r="AI150" s="804"/>
      <c r="AJ150" s="804"/>
      <c r="AK150" s="804"/>
      <c r="AL150" s="804"/>
      <c r="AM150" s="804"/>
      <c r="AN150" s="804"/>
      <c r="AO150" s="804"/>
      <c r="AP150" s="804"/>
      <c r="AQ150" s="804"/>
      <c r="AR150" s="804"/>
      <c r="AS150" s="804"/>
      <c r="AT150" s="804"/>
      <c r="AU150" s="804"/>
      <c r="AV150" s="804"/>
      <c r="AW150" s="804"/>
      <c r="AX150" s="804"/>
      <c r="AY150" s="804"/>
      <c r="AZ150" s="804"/>
      <c r="BA150" s="804"/>
      <c r="BB150" s="804"/>
      <c r="BC150" s="804"/>
      <c r="BD150" s="804"/>
      <c r="BE150" s="804"/>
      <c r="BF150" s="953"/>
      <c r="BG150" s="953"/>
      <c r="BH150" s="953"/>
      <c r="BI150" s="804"/>
      <c r="BJ150" s="804"/>
      <c r="BK150" s="804"/>
      <c r="BL150" s="804"/>
      <c r="BM150" s="804"/>
      <c r="BN150" s="804"/>
      <c r="BO150" s="804"/>
      <c r="BP150" s="804"/>
      <c r="BQ150" s="804"/>
      <c r="BR150" s="804"/>
      <c r="BS150" s="953"/>
      <c r="BT150" s="953"/>
      <c r="BU150" s="953"/>
      <c r="BV150" s="804"/>
      <c r="BW150" s="403"/>
      <c r="BX150" s="403"/>
      <c r="BY150" s="403"/>
      <c r="BZ150" s="403"/>
      <c r="CA150" s="403"/>
      <c r="CB150" s="403"/>
      <c r="CC150" s="403"/>
      <c r="CD150" s="403"/>
      <c r="CE150" s="403"/>
      <c r="CF150" s="403"/>
      <c r="CG150" s="403"/>
      <c r="CH150" s="403"/>
      <c r="CI150" s="403"/>
      <c r="CJ150" s="403"/>
      <c r="CK150" s="403"/>
      <c r="CL150" s="403"/>
      <c r="CM150" s="403"/>
      <c r="CN150" s="403"/>
      <c r="CO150" s="403"/>
      <c r="CP150" s="403"/>
      <c r="CQ150" s="403"/>
      <c r="CR150" s="403"/>
      <c r="CS150" s="403"/>
      <c r="CT150" s="403"/>
      <c r="CU150" s="403"/>
      <c r="CV150" s="403"/>
      <c r="CW150" s="403"/>
      <c r="CX150" s="403"/>
      <c r="CY150" s="403"/>
      <c r="CZ150" s="403"/>
      <c r="DA150" s="403"/>
      <c r="DB150" s="403"/>
      <c r="DC150" s="403"/>
      <c r="DD150" s="403"/>
      <c r="DE150" s="403"/>
      <c r="DF150" s="403"/>
      <c r="DG150" s="403"/>
      <c r="DH150" s="403"/>
      <c r="DI150" s="403"/>
      <c r="DJ150" s="403"/>
      <c r="DK150" s="403"/>
      <c r="DL150" s="403"/>
      <c r="DM150" s="403"/>
      <c r="DN150" s="403"/>
      <c r="DO150" s="403"/>
      <c r="DP150" s="403"/>
      <c r="DQ150" s="403"/>
      <c r="DR150" s="403"/>
      <c r="DS150" s="403"/>
      <c r="DT150" s="403"/>
      <c r="DU150" s="403"/>
      <c r="DV150" s="403"/>
      <c r="DW150" s="403"/>
      <c r="DX150" s="403"/>
      <c r="DY150" s="403"/>
      <c r="DZ150" s="403"/>
      <c r="EA150" s="403"/>
      <c r="EB150" s="403"/>
      <c r="EC150" s="403"/>
      <c r="ED150" s="403"/>
      <c r="EE150" s="403"/>
      <c r="EF150" s="403"/>
      <c r="EG150" s="403"/>
      <c r="EH150" s="403"/>
      <c r="EI150" s="403"/>
      <c r="EJ150" s="403"/>
      <c r="EK150" s="403"/>
      <c r="EL150" s="403"/>
      <c r="EM150" s="403"/>
      <c r="EN150" s="403"/>
      <c r="EO150" s="403"/>
      <c r="EP150" s="403"/>
      <c r="EQ150" s="403"/>
      <c r="ER150" s="403"/>
      <c r="ES150" s="403"/>
      <c r="ET150" s="403"/>
      <c r="EU150" s="403"/>
      <c r="EV150" s="403"/>
      <c r="EW150" s="403"/>
      <c r="EX150" s="403"/>
      <c r="EY150" s="403"/>
      <c r="EZ150" s="403"/>
      <c r="FA150" s="403"/>
      <c r="FB150" s="403"/>
      <c r="FC150" s="403"/>
      <c r="FD150" s="403"/>
      <c r="FE150" s="403"/>
      <c r="FF150" s="403"/>
      <c r="FG150" s="403"/>
      <c r="FH150" s="403"/>
    </row>
    <row r="151" spans="1:164" s="84" customFormat="1" ht="15">
      <c r="A151" s="407">
        <f t="shared" si="61"/>
        <v>182</v>
      </c>
      <c r="B151" s="404" t="s">
        <v>636</v>
      </c>
      <c r="C151" s="211" t="s">
        <v>1303</v>
      </c>
      <c r="D151" s="211"/>
      <c r="E151" s="1050">
        <f t="shared" si="62"/>
        <v>0</v>
      </c>
      <c r="F151" s="1064"/>
      <c r="G151" s="1065"/>
      <c r="H151" s="1305"/>
      <c r="I151" s="1306"/>
      <c r="J151" s="1307"/>
      <c r="K151" s="873"/>
      <c r="L151" s="314"/>
      <c r="P151" s="804"/>
      <c r="Q151" s="804"/>
      <c r="R151" s="804"/>
      <c r="S151" s="804"/>
      <c r="T151" s="804"/>
      <c r="U151" s="804"/>
      <c r="V151" s="804"/>
      <c r="W151" s="804"/>
      <c r="X151" s="315"/>
      <c r="Y151" s="315"/>
      <c r="Z151" s="804"/>
      <c r="AA151" s="804"/>
      <c r="AB151" s="804"/>
      <c r="AC151" s="804"/>
      <c r="AD151" s="804"/>
      <c r="AE151" s="804"/>
      <c r="AF151" s="804"/>
      <c r="AG151" s="804"/>
      <c r="AH151" s="804"/>
      <c r="AI151" s="804"/>
      <c r="AJ151" s="804"/>
      <c r="AK151" s="804"/>
      <c r="AL151" s="804"/>
      <c r="AM151" s="804"/>
      <c r="AN151" s="804"/>
      <c r="AO151" s="804"/>
      <c r="AP151" s="804"/>
      <c r="AQ151" s="804"/>
      <c r="AR151" s="804"/>
      <c r="AS151" s="804"/>
      <c r="AT151" s="804"/>
      <c r="AU151" s="804"/>
      <c r="AV151" s="804"/>
      <c r="AW151" s="804"/>
      <c r="AX151" s="804"/>
      <c r="AY151" s="804"/>
      <c r="AZ151" s="804"/>
      <c r="BA151" s="804"/>
      <c r="BB151" s="804"/>
      <c r="BC151" s="804"/>
      <c r="BD151" s="804"/>
      <c r="BE151" s="804"/>
      <c r="BF151" s="953"/>
      <c r="BG151" s="953"/>
      <c r="BH151" s="953"/>
      <c r="BI151" s="804"/>
      <c r="BJ151" s="804"/>
      <c r="BK151" s="804"/>
      <c r="BL151" s="804"/>
      <c r="BM151" s="804"/>
      <c r="BN151" s="804"/>
      <c r="BO151" s="804"/>
      <c r="BP151" s="804"/>
      <c r="BQ151" s="804"/>
      <c r="BR151" s="804"/>
      <c r="BS151" s="953"/>
      <c r="BT151" s="953"/>
      <c r="BU151" s="953"/>
      <c r="BV151" s="804"/>
      <c r="BW151" s="403"/>
      <c r="BX151" s="403"/>
      <c r="BY151" s="403"/>
      <c r="BZ151" s="403"/>
      <c r="CA151" s="403"/>
      <c r="CB151" s="403"/>
      <c r="CC151" s="403"/>
      <c r="CD151" s="403"/>
      <c r="CE151" s="403"/>
      <c r="CF151" s="403"/>
      <c r="CG151" s="403"/>
      <c r="CH151" s="403"/>
      <c r="CI151" s="403"/>
      <c r="CJ151" s="403"/>
      <c r="CK151" s="403"/>
      <c r="CL151" s="403"/>
      <c r="CM151" s="403"/>
      <c r="CN151" s="403"/>
      <c r="CO151" s="403"/>
      <c r="CP151" s="403"/>
      <c r="CQ151" s="403"/>
      <c r="CR151" s="403"/>
      <c r="CS151" s="403"/>
      <c r="CT151" s="403"/>
      <c r="CU151" s="403"/>
      <c r="CV151" s="403"/>
      <c r="CW151" s="403"/>
      <c r="CX151" s="403"/>
      <c r="CY151" s="403"/>
      <c r="CZ151" s="403"/>
      <c r="DA151" s="403"/>
      <c r="DB151" s="403"/>
      <c r="DC151" s="403"/>
      <c r="DD151" s="403"/>
      <c r="DE151" s="403"/>
      <c r="DF151" s="403"/>
      <c r="DG151" s="403"/>
      <c r="DH151" s="403"/>
      <c r="DI151" s="403"/>
      <c r="DJ151" s="403"/>
      <c r="DK151" s="403"/>
      <c r="DL151" s="403"/>
      <c r="DM151" s="403"/>
      <c r="DN151" s="403"/>
      <c r="DO151" s="403"/>
      <c r="DP151" s="403"/>
      <c r="DQ151" s="403"/>
      <c r="DR151" s="403"/>
      <c r="DS151" s="403"/>
      <c r="DT151" s="403"/>
      <c r="DU151" s="403"/>
      <c r="DV151" s="403"/>
      <c r="DW151" s="403"/>
      <c r="DX151" s="403"/>
      <c r="DY151" s="403"/>
      <c r="DZ151" s="403"/>
      <c r="EA151" s="403"/>
      <c r="EB151" s="403"/>
      <c r="EC151" s="403"/>
      <c r="ED151" s="403"/>
      <c r="EE151" s="403"/>
      <c r="EF151" s="403"/>
      <c r="EG151" s="403"/>
      <c r="EH151" s="403"/>
      <c r="EI151" s="403"/>
      <c r="EJ151" s="403"/>
      <c r="EK151" s="403"/>
      <c r="EL151" s="403"/>
      <c r="EM151" s="403"/>
      <c r="EN151" s="403"/>
      <c r="EO151" s="403"/>
      <c r="EP151" s="403"/>
      <c r="EQ151" s="403"/>
      <c r="ER151" s="403"/>
      <c r="ES151" s="403"/>
      <c r="ET151" s="403"/>
      <c r="EU151" s="403"/>
      <c r="EV151" s="403"/>
      <c r="EW151" s="403"/>
      <c r="EX151" s="403"/>
      <c r="EY151" s="403"/>
      <c r="EZ151" s="403"/>
      <c r="FA151" s="403"/>
      <c r="FB151" s="403"/>
      <c r="FC151" s="403"/>
      <c r="FD151" s="403"/>
      <c r="FE151" s="403"/>
      <c r="FF151" s="403"/>
      <c r="FG151" s="403"/>
      <c r="FH151" s="403"/>
    </row>
    <row r="152" spans="1:164" s="84" customFormat="1" ht="15">
      <c r="A152" s="407">
        <f t="shared" si="61"/>
        <v>183</v>
      </c>
      <c r="B152" s="404" t="s">
        <v>636</v>
      </c>
      <c r="C152" s="211" t="s">
        <v>1304</v>
      </c>
      <c r="D152" s="1079" t="s">
        <v>1305</v>
      </c>
      <c r="E152" s="1050">
        <f t="shared" si="62"/>
        <v>0</v>
      </c>
      <c r="F152" s="1064"/>
      <c r="G152" s="1065"/>
      <c r="H152" s="1305"/>
      <c r="I152" s="1306"/>
      <c r="J152" s="1307"/>
      <c r="K152" s="873"/>
      <c r="L152" s="314"/>
      <c r="P152" s="804"/>
      <c r="Q152" s="804"/>
      <c r="R152" s="804"/>
      <c r="S152" s="804"/>
      <c r="T152" s="804"/>
      <c r="U152" s="804"/>
      <c r="V152" s="804"/>
      <c r="W152" s="804"/>
      <c r="X152" s="315"/>
      <c r="Y152" s="315"/>
      <c r="Z152" s="804"/>
      <c r="AA152" s="804"/>
      <c r="AB152" s="804"/>
      <c r="AC152" s="804"/>
      <c r="AD152" s="804"/>
      <c r="AE152" s="804"/>
      <c r="AF152" s="804"/>
      <c r="AG152" s="804"/>
      <c r="AH152" s="804"/>
      <c r="AI152" s="804"/>
      <c r="AJ152" s="804"/>
      <c r="AK152" s="804"/>
      <c r="AL152" s="804"/>
      <c r="AM152" s="804"/>
      <c r="AN152" s="804"/>
      <c r="AO152" s="804"/>
      <c r="AP152" s="804"/>
      <c r="AQ152" s="804"/>
      <c r="AR152" s="804"/>
      <c r="AS152" s="804"/>
      <c r="AT152" s="804"/>
      <c r="AU152" s="804"/>
      <c r="AV152" s="804"/>
      <c r="AW152" s="804"/>
      <c r="AX152" s="804"/>
      <c r="AY152" s="804"/>
      <c r="AZ152" s="804"/>
      <c r="BA152" s="804"/>
      <c r="BB152" s="804"/>
      <c r="BC152" s="804"/>
      <c r="BD152" s="804"/>
      <c r="BE152" s="804"/>
      <c r="BF152" s="953"/>
      <c r="BG152" s="953"/>
      <c r="BH152" s="953"/>
      <c r="BI152" s="804"/>
      <c r="BJ152" s="804"/>
      <c r="BK152" s="804"/>
      <c r="BL152" s="804"/>
      <c r="BM152" s="804"/>
      <c r="BN152" s="804"/>
      <c r="BO152" s="804"/>
      <c r="BP152" s="804"/>
      <c r="BQ152" s="804"/>
      <c r="BR152" s="804"/>
      <c r="BS152" s="953"/>
      <c r="BT152" s="953"/>
      <c r="BU152" s="953"/>
      <c r="BV152" s="804"/>
      <c r="BW152" s="403"/>
      <c r="BX152" s="403"/>
      <c r="BY152" s="403"/>
      <c r="BZ152" s="403"/>
      <c r="CA152" s="403"/>
      <c r="CB152" s="403"/>
      <c r="CC152" s="403"/>
      <c r="CD152" s="403"/>
      <c r="CE152" s="403"/>
      <c r="CF152" s="403"/>
      <c r="CG152" s="403"/>
      <c r="CH152" s="403"/>
      <c r="CI152" s="403"/>
      <c r="CJ152" s="403"/>
      <c r="CK152" s="403"/>
      <c r="CL152" s="403"/>
      <c r="CM152" s="403"/>
      <c r="CN152" s="403"/>
      <c r="CO152" s="403"/>
      <c r="CP152" s="403"/>
      <c r="CQ152" s="403"/>
      <c r="CR152" s="403"/>
      <c r="CS152" s="403"/>
      <c r="CT152" s="403"/>
      <c r="CU152" s="403"/>
      <c r="CV152" s="403"/>
      <c r="CW152" s="403"/>
      <c r="CX152" s="403"/>
      <c r="CY152" s="403"/>
      <c r="CZ152" s="403"/>
      <c r="DA152" s="403"/>
      <c r="DB152" s="403"/>
      <c r="DC152" s="403"/>
      <c r="DD152" s="403"/>
      <c r="DE152" s="403"/>
      <c r="DF152" s="403"/>
      <c r="DG152" s="403"/>
      <c r="DH152" s="403"/>
      <c r="DI152" s="403"/>
      <c r="DJ152" s="403"/>
      <c r="DK152" s="403"/>
      <c r="DL152" s="403"/>
      <c r="DM152" s="403"/>
      <c r="DN152" s="403"/>
      <c r="DO152" s="403"/>
      <c r="DP152" s="403"/>
      <c r="DQ152" s="403"/>
      <c r="DR152" s="403"/>
      <c r="DS152" s="403"/>
      <c r="DT152" s="403"/>
      <c r="DU152" s="403"/>
      <c r="DV152" s="403"/>
      <c r="DW152" s="403"/>
      <c r="DX152" s="403"/>
      <c r="DY152" s="403"/>
      <c r="DZ152" s="403"/>
      <c r="EA152" s="403"/>
      <c r="EB152" s="403"/>
      <c r="EC152" s="403"/>
      <c r="ED152" s="403"/>
      <c r="EE152" s="403"/>
      <c r="EF152" s="403"/>
      <c r="EG152" s="403"/>
      <c r="EH152" s="403"/>
      <c r="EI152" s="403"/>
      <c r="EJ152" s="403"/>
      <c r="EK152" s="403"/>
      <c r="EL152" s="403"/>
      <c r="EM152" s="403"/>
      <c r="EN152" s="403"/>
      <c r="EO152" s="403"/>
      <c r="EP152" s="403"/>
      <c r="EQ152" s="403"/>
      <c r="ER152" s="403"/>
      <c r="ES152" s="403"/>
      <c r="ET152" s="403"/>
      <c r="EU152" s="403"/>
      <c r="EV152" s="403"/>
      <c r="EW152" s="403"/>
      <c r="EX152" s="403"/>
      <c r="EY152" s="403"/>
      <c r="EZ152" s="403"/>
      <c r="FA152" s="403"/>
      <c r="FB152" s="403"/>
      <c r="FC152" s="403"/>
      <c r="FD152" s="403"/>
      <c r="FE152" s="403"/>
      <c r="FF152" s="403"/>
      <c r="FG152" s="403"/>
      <c r="FH152" s="403"/>
    </row>
    <row r="153" spans="1:164" s="84" customFormat="1" ht="15">
      <c r="A153" s="407">
        <f t="shared" si="61"/>
        <v>184</v>
      </c>
      <c r="B153" s="404" t="s">
        <v>636</v>
      </c>
      <c r="C153" s="211" t="s">
        <v>1304</v>
      </c>
      <c r="D153" s="1079" t="s">
        <v>1305</v>
      </c>
      <c r="E153" s="1050">
        <f t="shared" si="62"/>
        <v>0</v>
      </c>
      <c r="F153" s="1064"/>
      <c r="G153" s="1065"/>
      <c r="H153" s="1305"/>
      <c r="I153" s="1306"/>
      <c r="J153" s="1307"/>
      <c r="K153" s="873"/>
      <c r="L153" s="314"/>
      <c r="P153" s="804"/>
      <c r="Q153" s="804"/>
      <c r="R153" s="804"/>
      <c r="S153" s="804"/>
      <c r="T153" s="804"/>
      <c r="U153" s="804"/>
      <c r="V153" s="804"/>
      <c r="W153" s="804"/>
      <c r="X153" s="315"/>
      <c r="Y153" s="315"/>
      <c r="Z153" s="804"/>
      <c r="AA153" s="804"/>
      <c r="AB153" s="804"/>
      <c r="AC153" s="804"/>
      <c r="AD153" s="804"/>
      <c r="AE153" s="804"/>
      <c r="AF153" s="804"/>
      <c r="AG153" s="804"/>
      <c r="AH153" s="804"/>
      <c r="AI153" s="804"/>
      <c r="AJ153" s="804"/>
      <c r="AK153" s="804"/>
      <c r="AL153" s="804"/>
      <c r="AM153" s="804"/>
      <c r="AN153" s="804"/>
      <c r="AO153" s="804"/>
      <c r="AP153" s="804"/>
      <c r="AQ153" s="804"/>
      <c r="AR153" s="804"/>
      <c r="AS153" s="804"/>
      <c r="AT153" s="804"/>
      <c r="AU153" s="804"/>
      <c r="AV153" s="804"/>
      <c r="AW153" s="804"/>
      <c r="AX153" s="804"/>
      <c r="AY153" s="804"/>
      <c r="AZ153" s="804"/>
      <c r="BA153" s="804"/>
      <c r="BB153" s="804"/>
      <c r="BC153" s="804"/>
      <c r="BD153" s="804"/>
      <c r="BE153" s="804"/>
      <c r="BF153" s="953"/>
      <c r="BG153" s="953"/>
      <c r="BH153" s="953"/>
      <c r="BI153" s="804"/>
      <c r="BJ153" s="804"/>
      <c r="BK153" s="804"/>
      <c r="BL153" s="804"/>
      <c r="BM153" s="804"/>
      <c r="BN153" s="804"/>
      <c r="BO153" s="804"/>
      <c r="BP153" s="804"/>
      <c r="BQ153" s="804"/>
      <c r="BR153" s="804"/>
      <c r="BS153" s="953"/>
      <c r="BT153" s="953"/>
      <c r="BU153" s="953"/>
      <c r="BV153" s="804"/>
      <c r="BW153" s="403"/>
      <c r="BX153" s="403"/>
      <c r="BY153" s="403"/>
      <c r="BZ153" s="403"/>
      <c r="CA153" s="403"/>
      <c r="CB153" s="403"/>
      <c r="CC153" s="403"/>
      <c r="CD153" s="403"/>
      <c r="CE153" s="403"/>
      <c r="CF153" s="403"/>
      <c r="CG153" s="403"/>
      <c r="CH153" s="403"/>
      <c r="CI153" s="403"/>
      <c r="CJ153" s="403"/>
      <c r="CK153" s="403"/>
      <c r="CL153" s="403"/>
      <c r="CM153" s="403"/>
      <c r="CN153" s="403"/>
      <c r="CO153" s="403"/>
      <c r="CP153" s="403"/>
      <c r="CQ153" s="403"/>
      <c r="CR153" s="403"/>
      <c r="CS153" s="403"/>
      <c r="CT153" s="403"/>
      <c r="CU153" s="403"/>
      <c r="CV153" s="403"/>
      <c r="CW153" s="403"/>
      <c r="CX153" s="403"/>
      <c r="CY153" s="403"/>
      <c r="CZ153" s="403"/>
      <c r="DA153" s="403"/>
      <c r="DB153" s="403"/>
      <c r="DC153" s="403"/>
      <c r="DD153" s="403"/>
      <c r="DE153" s="403"/>
      <c r="DF153" s="403"/>
      <c r="DG153" s="403"/>
      <c r="DH153" s="403"/>
      <c r="DI153" s="403"/>
      <c r="DJ153" s="403"/>
      <c r="DK153" s="403"/>
      <c r="DL153" s="403"/>
      <c r="DM153" s="403"/>
      <c r="DN153" s="403"/>
      <c r="DO153" s="403"/>
      <c r="DP153" s="403"/>
      <c r="DQ153" s="403"/>
      <c r="DR153" s="403"/>
      <c r="DS153" s="403"/>
      <c r="DT153" s="403"/>
      <c r="DU153" s="403"/>
      <c r="DV153" s="403"/>
      <c r="DW153" s="403"/>
      <c r="DX153" s="403"/>
      <c r="DY153" s="403"/>
      <c r="DZ153" s="403"/>
      <c r="EA153" s="403"/>
      <c r="EB153" s="403"/>
      <c r="EC153" s="403"/>
      <c r="ED153" s="403"/>
      <c r="EE153" s="403"/>
      <c r="EF153" s="403"/>
      <c r="EG153" s="403"/>
      <c r="EH153" s="403"/>
      <c r="EI153" s="403"/>
      <c r="EJ153" s="403"/>
      <c r="EK153" s="403"/>
      <c r="EL153" s="403"/>
      <c r="EM153" s="403"/>
      <c r="EN153" s="403"/>
      <c r="EO153" s="403"/>
      <c r="EP153" s="403"/>
      <c r="EQ153" s="403"/>
      <c r="ER153" s="403"/>
      <c r="ES153" s="403"/>
      <c r="ET153" s="403"/>
      <c r="EU153" s="403"/>
      <c r="EV153" s="403"/>
      <c r="EW153" s="403"/>
      <c r="EX153" s="403"/>
      <c r="EY153" s="403"/>
      <c r="EZ153" s="403"/>
      <c r="FA153" s="403"/>
      <c r="FB153" s="403"/>
      <c r="FC153" s="403"/>
      <c r="FD153" s="403"/>
      <c r="FE153" s="403"/>
      <c r="FF153" s="403"/>
      <c r="FG153" s="403"/>
      <c r="FH153" s="403"/>
    </row>
    <row r="154" spans="1:164" s="84" customFormat="1" ht="15">
      <c r="A154" s="407">
        <f t="shared" si="61"/>
        <v>185</v>
      </c>
      <c r="B154" s="404" t="s">
        <v>636</v>
      </c>
      <c r="C154" s="211" t="s">
        <v>230</v>
      </c>
      <c r="D154" s="211" t="s">
        <v>1305</v>
      </c>
      <c r="E154" s="1050">
        <f t="shared" si="62"/>
        <v>0</v>
      </c>
      <c r="F154" s="1064"/>
      <c r="G154" s="1065"/>
      <c r="H154" s="1305"/>
      <c r="I154" s="1306"/>
      <c r="J154" s="1307"/>
      <c r="K154" s="873"/>
      <c r="L154" s="314"/>
      <c r="P154" s="804"/>
      <c r="Q154" s="804"/>
      <c r="R154" s="804"/>
      <c r="S154" s="804"/>
      <c r="T154" s="804"/>
      <c r="U154" s="804"/>
      <c r="V154" s="804"/>
      <c r="W154" s="804"/>
      <c r="X154" s="315"/>
      <c r="Y154" s="315"/>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4"/>
      <c r="AY154" s="804"/>
      <c r="AZ154" s="804"/>
      <c r="BA154" s="804"/>
      <c r="BB154" s="804"/>
      <c r="BC154" s="804"/>
      <c r="BD154" s="804"/>
      <c r="BE154" s="804"/>
      <c r="BF154" s="953"/>
      <c r="BG154" s="953"/>
      <c r="BH154" s="953"/>
      <c r="BI154" s="804"/>
      <c r="BJ154" s="804"/>
      <c r="BK154" s="804"/>
      <c r="BL154" s="804"/>
      <c r="BM154" s="804"/>
      <c r="BN154" s="804"/>
      <c r="BO154" s="804"/>
      <c r="BP154" s="804"/>
      <c r="BQ154" s="804"/>
      <c r="BR154" s="804"/>
      <c r="BS154" s="953"/>
      <c r="BT154" s="953"/>
      <c r="BU154" s="953"/>
      <c r="BV154" s="804"/>
      <c r="BW154" s="403"/>
      <c r="BX154" s="403"/>
      <c r="BY154" s="403"/>
      <c r="BZ154" s="403"/>
      <c r="CA154" s="403"/>
      <c r="CB154" s="403"/>
      <c r="CC154" s="403"/>
      <c r="CD154" s="403"/>
      <c r="CE154" s="403"/>
      <c r="CF154" s="403"/>
      <c r="CG154" s="403"/>
      <c r="CH154" s="403"/>
      <c r="CI154" s="403"/>
      <c r="CJ154" s="403"/>
      <c r="CK154" s="403"/>
      <c r="CL154" s="403"/>
      <c r="CM154" s="403"/>
      <c r="CN154" s="403"/>
      <c r="CO154" s="403"/>
      <c r="CP154" s="403"/>
      <c r="CQ154" s="403"/>
      <c r="CR154" s="403"/>
      <c r="CS154" s="403"/>
      <c r="CT154" s="403"/>
      <c r="CU154" s="403"/>
      <c r="CV154" s="403"/>
      <c r="CW154" s="403"/>
      <c r="CX154" s="403"/>
      <c r="CY154" s="403"/>
      <c r="CZ154" s="403"/>
      <c r="DA154" s="403"/>
      <c r="DB154" s="403"/>
      <c r="DC154" s="403"/>
      <c r="DD154" s="403"/>
      <c r="DE154" s="403"/>
      <c r="DF154" s="403"/>
      <c r="DG154" s="403"/>
      <c r="DH154" s="403"/>
      <c r="DI154" s="403"/>
      <c r="DJ154" s="403"/>
      <c r="DK154" s="403"/>
      <c r="DL154" s="403"/>
      <c r="DM154" s="403"/>
      <c r="DN154" s="403"/>
      <c r="DO154" s="403"/>
      <c r="DP154" s="403"/>
      <c r="DQ154" s="403"/>
      <c r="DR154" s="403"/>
      <c r="DS154" s="403"/>
      <c r="DT154" s="403"/>
      <c r="DU154" s="403"/>
      <c r="DV154" s="403"/>
      <c r="DW154" s="403"/>
      <c r="DX154" s="403"/>
      <c r="DY154" s="403"/>
      <c r="DZ154" s="403"/>
      <c r="EA154" s="403"/>
      <c r="EB154" s="403"/>
      <c r="EC154" s="403"/>
      <c r="ED154" s="403"/>
      <c r="EE154" s="403"/>
      <c r="EF154" s="403"/>
      <c r="EG154" s="403"/>
      <c r="EH154" s="403"/>
      <c r="EI154" s="403"/>
      <c r="EJ154" s="403"/>
      <c r="EK154" s="403"/>
      <c r="EL154" s="403"/>
      <c r="EM154" s="403"/>
      <c r="EN154" s="403"/>
      <c r="EO154" s="403"/>
      <c r="EP154" s="403"/>
      <c r="EQ154" s="403"/>
      <c r="ER154" s="403"/>
      <c r="ES154" s="403"/>
      <c r="ET154" s="403"/>
      <c r="EU154" s="403"/>
      <c r="EV154" s="403"/>
      <c r="EW154" s="403"/>
      <c r="EX154" s="403"/>
      <c r="EY154" s="403"/>
      <c r="EZ154" s="403"/>
      <c r="FA154" s="403"/>
      <c r="FB154" s="403"/>
      <c r="FC154" s="403"/>
      <c r="FD154" s="403"/>
      <c r="FE154" s="403"/>
      <c r="FF154" s="403"/>
      <c r="FG154" s="403"/>
      <c r="FH154" s="403"/>
    </row>
    <row r="155" spans="1:164" s="84" customFormat="1" ht="15">
      <c r="A155" s="407">
        <f t="shared" si="61"/>
        <v>186</v>
      </c>
      <c r="B155" s="404" t="s">
        <v>636</v>
      </c>
      <c r="C155" s="211" t="s">
        <v>1306</v>
      </c>
      <c r="D155" s="211"/>
      <c r="E155" s="1050">
        <f t="shared" si="62"/>
        <v>0</v>
      </c>
      <c r="F155" s="1064"/>
      <c r="G155" s="1065"/>
      <c r="H155" s="1305"/>
      <c r="I155" s="1306"/>
      <c r="J155" s="1307"/>
      <c r="K155" s="873"/>
      <c r="L155" s="314"/>
      <c r="P155" s="804"/>
      <c r="Q155" s="804"/>
      <c r="R155" s="804"/>
      <c r="S155" s="804"/>
      <c r="T155" s="804"/>
      <c r="U155" s="804"/>
      <c r="V155" s="804"/>
      <c r="W155" s="804"/>
      <c r="X155" s="315"/>
      <c r="Y155" s="315"/>
      <c r="Z155" s="804"/>
      <c r="AA155" s="804"/>
      <c r="AB155" s="804"/>
      <c r="AC155" s="804"/>
      <c r="AD155" s="804"/>
      <c r="AE155" s="804"/>
      <c r="AF155" s="804"/>
      <c r="AG155" s="804"/>
      <c r="AH155" s="804"/>
      <c r="AI155" s="804"/>
      <c r="AJ155" s="804"/>
      <c r="AK155" s="804"/>
      <c r="AL155" s="804"/>
      <c r="AM155" s="804"/>
      <c r="AN155" s="804"/>
      <c r="AO155" s="804"/>
      <c r="AP155" s="804"/>
      <c r="AQ155" s="804"/>
      <c r="AR155" s="804"/>
      <c r="AS155" s="804"/>
      <c r="AT155" s="804"/>
      <c r="AU155" s="804"/>
      <c r="AV155" s="804"/>
      <c r="AW155" s="804"/>
      <c r="AX155" s="804"/>
      <c r="AY155" s="804"/>
      <c r="AZ155" s="804"/>
      <c r="BA155" s="804"/>
      <c r="BB155" s="804"/>
      <c r="BC155" s="804"/>
      <c r="BD155" s="804"/>
      <c r="BE155" s="804"/>
      <c r="BF155" s="953"/>
      <c r="BG155" s="953"/>
      <c r="BH155" s="953"/>
      <c r="BI155" s="804"/>
      <c r="BJ155" s="804"/>
      <c r="BK155" s="804"/>
      <c r="BL155" s="804"/>
      <c r="BM155" s="804"/>
      <c r="BN155" s="804"/>
      <c r="BO155" s="804"/>
      <c r="BP155" s="804"/>
      <c r="BQ155" s="804"/>
      <c r="BR155" s="804"/>
      <c r="BS155" s="953"/>
      <c r="BT155" s="953"/>
      <c r="BU155" s="953"/>
      <c r="BV155" s="804"/>
      <c r="BW155" s="403"/>
      <c r="BX155" s="403"/>
      <c r="BY155" s="403"/>
      <c r="BZ155" s="403"/>
      <c r="CA155" s="403"/>
      <c r="CB155" s="403"/>
      <c r="CC155" s="403"/>
      <c r="CD155" s="403"/>
      <c r="CE155" s="403"/>
      <c r="CF155" s="403"/>
      <c r="CG155" s="403"/>
      <c r="CH155" s="403"/>
      <c r="CI155" s="403"/>
      <c r="CJ155" s="403"/>
      <c r="CK155" s="403"/>
      <c r="CL155" s="403"/>
      <c r="CM155" s="403"/>
      <c r="CN155" s="403"/>
      <c r="CO155" s="403"/>
      <c r="CP155" s="403"/>
      <c r="CQ155" s="403"/>
      <c r="CR155" s="403"/>
      <c r="CS155" s="403"/>
      <c r="CT155" s="403"/>
      <c r="CU155" s="403"/>
      <c r="CV155" s="403"/>
      <c r="CW155" s="403"/>
      <c r="CX155" s="403"/>
      <c r="CY155" s="403"/>
      <c r="CZ155" s="403"/>
      <c r="DA155" s="403"/>
      <c r="DB155" s="403"/>
      <c r="DC155" s="403"/>
      <c r="DD155" s="403"/>
      <c r="DE155" s="403"/>
      <c r="DF155" s="403"/>
      <c r="DG155" s="403"/>
      <c r="DH155" s="403"/>
      <c r="DI155" s="403"/>
      <c r="DJ155" s="403"/>
      <c r="DK155" s="403"/>
      <c r="DL155" s="403"/>
      <c r="DM155" s="403"/>
      <c r="DN155" s="403"/>
      <c r="DO155" s="403"/>
      <c r="DP155" s="403"/>
      <c r="DQ155" s="403"/>
      <c r="DR155" s="403"/>
      <c r="DS155" s="403"/>
      <c r="DT155" s="403"/>
      <c r="DU155" s="403"/>
      <c r="DV155" s="403"/>
      <c r="DW155" s="403"/>
      <c r="DX155" s="403"/>
      <c r="DY155" s="403"/>
      <c r="DZ155" s="403"/>
      <c r="EA155" s="403"/>
      <c r="EB155" s="403"/>
      <c r="EC155" s="403"/>
      <c r="ED155" s="403"/>
      <c r="EE155" s="403"/>
      <c r="EF155" s="403"/>
      <c r="EG155" s="403"/>
      <c r="EH155" s="403"/>
      <c r="EI155" s="403"/>
      <c r="EJ155" s="403"/>
      <c r="EK155" s="403"/>
      <c r="EL155" s="403"/>
      <c r="EM155" s="403"/>
      <c r="EN155" s="403"/>
      <c r="EO155" s="403"/>
      <c r="EP155" s="403"/>
      <c r="EQ155" s="403"/>
      <c r="ER155" s="403"/>
      <c r="ES155" s="403"/>
      <c r="ET155" s="403"/>
      <c r="EU155" s="403"/>
      <c r="EV155" s="403"/>
      <c r="EW155" s="403"/>
      <c r="EX155" s="403"/>
      <c r="EY155" s="403"/>
      <c r="EZ155" s="403"/>
      <c r="FA155" s="403"/>
      <c r="FB155" s="403"/>
      <c r="FC155" s="403"/>
      <c r="FD155" s="403"/>
      <c r="FE155" s="403"/>
      <c r="FF155" s="403"/>
      <c r="FG155" s="403"/>
      <c r="FH155" s="403"/>
    </row>
    <row r="156" spans="1:164" s="84" customFormat="1" ht="15">
      <c r="A156" s="407">
        <f t="shared" si="61"/>
        <v>187</v>
      </c>
      <c r="B156" s="404" t="s">
        <v>636</v>
      </c>
      <c r="C156" s="211" t="s">
        <v>1307</v>
      </c>
      <c r="D156" s="211"/>
      <c r="E156" s="1050">
        <f t="shared" si="62"/>
        <v>0</v>
      </c>
      <c r="F156" s="1064"/>
      <c r="G156" s="1065"/>
      <c r="H156" s="1305"/>
      <c r="I156" s="1306"/>
      <c r="J156" s="1307"/>
      <c r="K156" s="873"/>
      <c r="L156" s="314"/>
      <c r="P156" s="804"/>
      <c r="Q156" s="804"/>
      <c r="R156" s="804"/>
      <c r="S156" s="804"/>
      <c r="T156" s="804"/>
      <c r="U156" s="804"/>
      <c r="V156" s="804"/>
      <c r="W156" s="804"/>
      <c r="X156" s="315"/>
      <c r="Y156" s="315"/>
      <c r="Z156" s="804"/>
      <c r="AA156" s="804"/>
      <c r="AB156" s="804"/>
      <c r="AC156" s="804"/>
      <c r="AD156" s="804"/>
      <c r="AE156" s="804"/>
      <c r="AF156" s="804"/>
      <c r="AG156" s="804"/>
      <c r="AH156" s="804"/>
      <c r="AI156" s="804"/>
      <c r="AJ156" s="804"/>
      <c r="AK156" s="804"/>
      <c r="AL156" s="804"/>
      <c r="AM156" s="804"/>
      <c r="AN156" s="804"/>
      <c r="AO156" s="804"/>
      <c r="AP156" s="804"/>
      <c r="AQ156" s="804"/>
      <c r="AR156" s="804"/>
      <c r="AS156" s="804"/>
      <c r="AT156" s="804"/>
      <c r="AU156" s="804"/>
      <c r="AV156" s="804"/>
      <c r="AW156" s="804"/>
      <c r="AX156" s="804"/>
      <c r="AY156" s="804"/>
      <c r="AZ156" s="804"/>
      <c r="BA156" s="804"/>
      <c r="BB156" s="804"/>
      <c r="BC156" s="804"/>
      <c r="BD156" s="804"/>
      <c r="BE156" s="804"/>
      <c r="BF156" s="953"/>
      <c r="BG156" s="953"/>
      <c r="BH156" s="953"/>
      <c r="BI156" s="804"/>
      <c r="BJ156" s="804"/>
      <c r="BK156" s="804"/>
      <c r="BL156" s="804"/>
      <c r="BM156" s="804"/>
      <c r="BN156" s="804"/>
      <c r="BO156" s="804"/>
      <c r="BP156" s="804"/>
      <c r="BQ156" s="804"/>
      <c r="BR156" s="804"/>
      <c r="BS156" s="953"/>
      <c r="BT156" s="953"/>
      <c r="BU156" s="953"/>
      <c r="BV156" s="804"/>
      <c r="BW156" s="403"/>
      <c r="BX156" s="403"/>
      <c r="BY156" s="403"/>
      <c r="BZ156" s="403"/>
      <c r="CA156" s="403"/>
      <c r="CB156" s="403"/>
      <c r="CC156" s="403"/>
      <c r="CD156" s="403"/>
      <c r="CE156" s="403"/>
      <c r="CF156" s="403"/>
      <c r="CG156" s="403"/>
      <c r="CH156" s="403"/>
      <c r="CI156" s="403"/>
      <c r="CJ156" s="403"/>
      <c r="CK156" s="403"/>
      <c r="CL156" s="403"/>
      <c r="CM156" s="403"/>
      <c r="CN156" s="403"/>
      <c r="CO156" s="403"/>
      <c r="CP156" s="403"/>
      <c r="CQ156" s="403"/>
      <c r="CR156" s="403"/>
      <c r="CS156" s="403"/>
      <c r="CT156" s="403"/>
      <c r="CU156" s="403"/>
      <c r="CV156" s="403"/>
      <c r="CW156" s="403"/>
      <c r="CX156" s="403"/>
      <c r="CY156" s="403"/>
      <c r="CZ156" s="403"/>
      <c r="DA156" s="403"/>
      <c r="DB156" s="403"/>
      <c r="DC156" s="403"/>
      <c r="DD156" s="403"/>
      <c r="DE156" s="403"/>
      <c r="DF156" s="403"/>
      <c r="DG156" s="403"/>
      <c r="DH156" s="403"/>
      <c r="DI156" s="403"/>
      <c r="DJ156" s="403"/>
      <c r="DK156" s="403"/>
      <c r="DL156" s="403"/>
      <c r="DM156" s="403"/>
      <c r="DN156" s="403"/>
      <c r="DO156" s="403"/>
      <c r="DP156" s="403"/>
      <c r="DQ156" s="403"/>
      <c r="DR156" s="403"/>
      <c r="DS156" s="403"/>
      <c r="DT156" s="403"/>
      <c r="DU156" s="403"/>
      <c r="DV156" s="403"/>
      <c r="DW156" s="403"/>
      <c r="DX156" s="403"/>
      <c r="DY156" s="403"/>
      <c r="DZ156" s="403"/>
      <c r="EA156" s="403"/>
      <c r="EB156" s="403"/>
      <c r="EC156" s="403"/>
      <c r="ED156" s="403"/>
      <c r="EE156" s="403"/>
      <c r="EF156" s="403"/>
      <c r="EG156" s="403"/>
      <c r="EH156" s="403"/>
      <c r="EI156" s="403"/>
      <c r="EJ156" s="403"/>
      <c r="EK156" s="403"/>
      <c r="EL156" s="403"/>
      <c r="EM156" s="403"/>
      <c r="EN156" s="403"/>
      <c r="EO156" s="403"/>
      <c r="EP156" s="403"/>
      <c r="EQ156" s="403"/>
      <c r="ER156" s="403"/>
      <c r="ES156" s="403"/>
      <c r="ET156" s="403"/>
      <c r="EU156" s="403"/>
      <c r="EV156" s="403"/>
      <c r="EW156" s="403"/>
      <c r="EX156" s="403"/>
      <c r="EY156" s="403"/>
      <c r="EZ156" s="403"/>
      <c r="FA156" s="403"/>
      <c r="FB156" s="403"/>
      <c r="FC156" s="403"/>
      <c r="FD156" s="403"/>
      <c r="FE156" s="403"/>
      <c r="FF156" s="403"/>
      <c r="FG156" s="403"/>
      <c r="FH156" s="403"/>
    </row>
    <row r="157" spans="1:164" s="84" customFormat="1" ht="15">
      <c r="A157" s="407">
        <f t="shared" si="61"/>
        <v>188</v>
      </c>
      <c r="B157" s="404" t="s">
        <v>636</v>
      </c>
      <c r="C157" s="211" t="s">
        <v>1308</v>
      </c>
      <c r="D157" s="211"/>
      <c r="E157" s="1050">
        <f t="shared" si="62"/>
        <v>0</v>
      </c>
      <c r="F157" s="1064"/>
      <c r="G157" s="1065"/>
      <c r="H157" s="1305"/>
      <c r="I157" s="1306"/>
      <c r="J157" s="1307"/>
      <c r="K157" s="873"/>
      <c r="L157" s="314"/>
      <c r="P157" s="403"/>
      <c r="Q157" s="403"/>
      <c r="R157" s="403"/>
      <c r="S157" s="403"/>
      <c r="T157" s="403"/>
      <c r="U157" s="403"/>
      <c r="V157" s="403"/>
      <c r="W157" s="403"/>
      <c r="Z157" s="403"/>
      <c r="AA157" s="403"/>
      <c r="AB157" s="403"/>
      <c r="AC157" s="403"/>
      <c r="AD157" s="403"/>
      <c r="AE157" s="403"/>
      <c r="AF157" s="403"/>
      <c r="AG157" s="403"/>
      <c r="AH157" s="403"/>
      <c r="AI157" s="403"/>
      <c r="AJ157" s="403"/>
      <c r="AK157" s="403"/>
      <c r="AL157" s="403"/>
      <c r="AM157" s="403"/>
      <c r="AN157" s="403"/>
      <c r="AO157" s="403"/>
      <c r="AP157" s="403"/>
      <c r="AQ157" s="403"/>
      <c r="AR157" s="403"/>
      <c r="AS157" s="403"/>
      <c r="AT157" s="403"/>
      <c r="AU157" s="403"/>
      <c r="AV157" s="403"/>
      <c r="AW157" s="403"/>
      <c r="AX157" s="403"/>
      <c r="AY157" s="403"/>
      <c r="AZ157" s="403"/>
      <c r="BA157" s="403"/>
      <c r="BB157" s="403"/>
      <c r="BC157" s="403"/>
      <c r="BD157" s="403"/>
      <c r="BE157" s="403"/>
      <c r="BF157" s="954"/>
      <c r="BG157" s="954"/>
      <c r="BH157" s="954"/>
      <c r="BI157" s="403"/>
      <c r="BJ157" s="403"/>
      <c r="BK157" s="403"/>
      <c r="BL157" s="403"/>
      <c r="BM157" s="403"/>
      <c r="BN157" s="403"/>
      <c r="BO157" s="403"/>
      <c r="BP157" s="403"/>
      <c r="BQ157" s="403"/>
      <c r="BR157" s="403"/>
      <c r="BS157" s="954"/>
      <c r="BT157" s="954"/>
      <c r="BU157" s="954"/>
      <c r="BV157" s="403"/>
      <c r="BW157" s="403"/>
      <c r="BX157" s="403"/>
      <c r="BY157" s="403"/>
      <c r="BZ157" s="403"/>
      <c r="CA157" s="403"/>
      <c r="CB157" s="403"/>
      <c r="CC157" s="403"/>
      <c r="CD157" s="403"/>
      <c r="CE157" s="403"/>
      <c r="CF157" s="403"/>
      <c r="CG157" s="403"/>
      <c r="CH157" s="403"/>
      <c r="CI157" s="403"/>
      <c r="CJ157" s="403"/>
      <c r="CK157" s="403"/>
      <c r="CL157" s="403"/>
      <c r="CM157" s="403"/>
      <c r="CN157" s="403"/>
      <c r="CO157" s="403"/>
      <c r="CP157" s="403"/>
      <c r="CQ157" s="403"/>
      <c r="CR157" s="403"/>
      <c r="CS157" s="403"/>
      <c r="CT157" s="403"/>
      <c r="CU157" s="403"/>
      <c r="CV157" s="403"/>
      <c r="CW157" s="403"/>
      <c r="CX157" s="403"/>
      <c r="CY157" s="403"/>
      <c r="CZ157" s="403"/>
      <c r="DA157" s="403"/>
      <c r="DB157" s="403"/>
      <c r="DC157" s="403"/>
      <c r="DD157" s="403"/>
      <c r="DE157" s="403"/>
      <c r="DF157" s="403"/>
      <c r="DG157" s="403"/>
      <c r="DH157" s="403"/>
      <c r="DI157" s="403"/>
      <c r="DJ157" s="403"/>
      <c r="DK157" s="403"/>
      <c r="DL157" s="403"/>
      <c r="DM157" s="403"/>
      <c r="DN157" s="403"/>
      <c r="DO157" s="403"/>
      <c r="DP157" s="403"/>
      <c r="DQ157" s="403"/>
      <c r="DR157" s="403"/>
      <c r="DS157" s="403"/>
      <c r="DT157" s="403"/>
      <c r="DU157" s="403"/>
      <c r="DV157" s="403"/>
      <c r="DW157" s="403"/>
      <c r="DX157" s="403"/>
      <c r="DY157" s="403"/>
      <c r="DZ157" s="403"/>
      <c r="EA157" s="403"/>
      <c r="EB157" s="403"/>
      <c r="EC157" s="403"/>
      <c r="ED157" s="403"/>
      <c r="EE157" s="403"/>
      <c r="EF157" s="403"/>
      <c r="EG157" s="403"/>
      <c r="EH157" s="403"/>
      <c r="EI157" s="403"/>
      <c r="EJ157" s="403"/>
      <c r="EK157" s="403"/>
      <c r="EL157" s="403"/>
      <c r="EM157" s="403"/>
      <c r="EN157" s="403"/>
      <c r="EO157" s="403"/>
      <c r="EP157" s="403"/>
      <c r="EQ157" s="403"/>
      <c r="ER157" s="403"/>
      <c r="ES157" s="403"/>
      <c r="ET157" s="403"/>
      <c r="EU157" s="403"/>
      <c r="EV157" s="403"/>
      <c r="EW157" s="403"/>
      <c r="EX157" s="403"/>
      <c r="EY157" s="403"/>
      <c r="EZ157" s="403"/>
      <c r="FA157" s="403"/>
      <c r="FB157" s="403"/>
      <c r="FC157" s="403"/>
      <c r="FD157" s="403"/>
      <c r="FE157" s="403"/>
      <c r="FF157" s="403"/>
      <c r="FG157" s="403"/>
      <c r="FH157" s="403"/>
    </row>
    <row r="158" spans="1:164" s="84" customFormat="1" ht="15">
      <c r="A158" s="407">
        <f t="shared" si="61"/>
        <v>189</v>
      </c>
      <c r="B158" s="404" t="s">
        <v>636</v>
      </c>
      <c r="C158" s="211" t="s">
        <v>1309</v>
      </c>
      <c r="D158" s="211"/>
      <c r="E158" s="1050">
        <f t="shared" si="62"/>
        <v>0</v>
      </c>
      <c r="F158" s="1064"/>
      <c r="G158" s="1065"/>
      <c r="H158" s="1305"/>
      <c r="I158" s="1306"/>
      <c r="J158" s="1307"/>
      <c r="K158" s="873"/>
      <c r="L158" s="314"/>
      <c r="P158" s="403"/>
      <c r="Q158" s="403"/>
      <c r="R158" s="403"/>
      <c r="S158" s="403"/>
      <c r="T158" s="403"/>
      <c r="U158" s="403"/>
      <c r="V158" s="403"/>
      <c r="W158" s="403"/>
      <c r="Z158" s="403"/>
      <c r="AA158" s="403"/>
      <c r="AB158" s="403"/>
      <c r="AC158" s="403"/>
      <c r="AD158" s="403"/>
      <c r="AE158" s="403"/>
      <c r="AF158" s="403"/>
      <c r="AG158" s="403"/>
      <c r="AH158" s="403"/>
      <c r="AI158" s="403"/>
      <c r="AJ158" s="403"/>
      <c r="AK158" s="403"/>
      <c r="AL158" s="403"/>
      <c r="AM158" s="403"/>
      <c r="AN158" s="403"/>
      <c r="AO158" s="403"/>
      <c r="AP158" s="403"/>
      <c r="AQ158" s="403"/>
      <c r="AR158" s="403"/>
      <c r="AS158" s="403"/>
      <c r="AT158" s="403"/>
      <c r="AU158" s="403"/>
      <c r="AV158" s="403"/>
      <c r="AW158" s="403"/>
      <c r="AX158" s="403"/>
      <c r="AY158" s="403"/>
      <c r="AZ158" s="403"/>
      <c r="BA158" s="403"/>
      <c r="BB158" s="403"/>
      <c r="BC158" s="403"/>
      <c r="BD158" s="403"/>
      <c r="BE158" s="403"/>
      <c r="BF158" s="954"/>
      <c r="BG158" s="954"/>
      <c r="BH158" s="954"/>
      <c r="BI158" s="403"/>
      <c r="BJ158" s="403"/>
      <c r="BK158" s="403"/>
      <c r="BL158" s="403"/>
      <c r="BM158" s="403"/>
      <c r="BN158" s="403"/>
      <c r="BO158" s="403"/>
      <c r="BP158" s="403"/>
      <c r="BQ158" s="403"/>
      <c r="BR158" s="403"/>
      <c r="BS158" s="954"/>
      <c r="BT158" s="954"/>
      <c r="BU158" s="954"/>
      <c r="BV158" s="403"/>
      <c r="BW158" s="403"/>
      <c r="BX158" s="403"/>
      <c r="BY158" s="403"/>
      <c r="BZ158" s="403"/>
      <c r="CA158" s="403"/>
      <c r="CB158" s="403"/>
      <c r="CC158" s="403"/>
      <c r="CD158" s="403"/>
      <c r="CE158" s="403"/>
      <c r="CF158" s="403"/>
      <c r="CG158" s="403"/>
      <c r="CH158" s="403"/>
      <c r="CI158" s="403"/>
      <c r="CJ158" s="403"/>
      <c r="CK158" s="403"/>
      <c r="CL158" s="403"/>
      <c r="CM158" s="403"/>
      <c r="CN158" s="403"/>
      <c r="CO158" s="403"/>
      <c r="CP158" s="403"/>
      <c r="CQ158" s="403"/>
      <c r="CR158" s="403"/>
      <c r="CS158" s="403"/>
      <c r="CT158" s="403"/>
      <c r="CU158" s="403"/>
      <c r="CV158" s="403"/>
      <c r="CW158" s="403"/>
      <c r="CX158" s="403"/>
      <c r="CY158" s="403"/>
      <c r="CZ158" s="403"/>
      <c r="DA158" s="403"/>
      <c r="DB158" s="403"/>
      <c r="DC158" s="403"/>
      <c r="DD158" s="403"/>
      <c r="DE158" s="403"/>
      <c r="DF158" s="403"/>
      <c r="DG158" s="403"/>
      <c r="DH158" s="403"/>
      <c r="DI158" s="403"/>
      <c r="DJ158" s="403"/>
      <c r="DK158" s="403"/>
      <c r="DL158" s="403"/>
      <c r="DM158" s="403"/>
      <c r="DN158" s="403"/>
      <c r="DO158" s="403"/>
      <c r="DP158" s="403"/>
      <c r="DQ158" s="403"/>
      <c r="DR158" s="403"/>
      <c r="DS158" s="403"/>
      <c r="DT158" s="403"/>
      <c r="DU158" s="403"/>
      <c r="DV158" s="403"/>
      <c r="DW158" s="403"/>
      <c r="DX158" s="403"/>
      <c r="DY158" s="403"/>
      <c r="DZ158" s="403"/>
      <c r="EA158" s="403"/>
      <c r="EB158" s="403"/>
      <c r="EC158" s="403"/>
      <c r="ED158" s="403"/>
      <c r="EE158" s="403"/>
      <c r="EF158" s="403"/>
      <c r="EG158" s="403"/>
      <c r="EH158" s="403"/>
      <c r="EI158" s="403"/>
      <c r="EJ158" s="403"/>
      <c r="EK158" s="403"/>
      <c r="EL158" s="403"/>
      <c r="EM158" s="403"/>
      <c r="EN158" s="403"/>
      <c r="EO158" s="403"/>
      <c r="EP158" s="403"/>
      <c r="EQ158" s="403"/>
      <c r="ER158" s="403"/>
      <c r="ES158" s="403"/>
      <c r="ET158" s="403"/>
      <c r="EU158" s="403"/>
      <c r="EV158" s="403"/>
      <c r="EW158" s="403"/>
      <c r="EX158" s="403"/>
      <c r="EY158" s="403"/>
      <c r="EZ158" s="403"/>
      <c r="FA158" s="403"/>
      <c r="FB158" s="403"/>
      <c r="FC158" s="403"/>
      <c r="FD158" s="403"/>
      <c r="FE158" s="403"/>
      <c r="FF158" s="403"/>
      <c r="FG158" s="403"/>
      <c r="FH158" s="403"/>
    </row>
    <row r="159" spans="1:164" s="84" customFormat="1" ht="15">
      <c r="A159" s="407">
        <f t="shared" si="61"/>
        <v>190</v>
      </c>
      <c r="B159" s="404" t="s">
        <v>636</v>
      </c>
      <c r="C159" s="211" t="s">
        <v>790</v>
      </c>
      <c r="D159" s="1080" t="s">
        <v>646</v>
      </c>
      <c r="E159" s="1050">
        <f t="shared" si="62"/>
        <v>0</v>
      </c>
      <c r="F159" s="1064"/>
      <c r="G159" s="1065"/>
      <c r="H159" s="1305"/>
      <c r="I159" s="1306"/>
      <c r="J159" s="1307"/>
      <c r="K159" s="873"/>
      <c r="L159" s="314"/>
      <c r="P159" s="403"/>
      <c r="Q159" s="403"/>
      <c r="R159" s="403"/>
      <c r="S159" s="403"/>
      <c r="T159" s="403"/>
      <c r="U159" s="403"/>
      <c r="V159" s="403"/>
      <c r="W159" s="403"/>
      <c r="Z159" s="403"/>
      <c r="AA159" s="403"/>
      <c r="AB159" s="403"/>
      <c r="AC159" s="403"/>
      <c r="AD159" s="403"/>
      <c r="AE159" s="403"/>
      <c r="AF159" s="403"/>
      <c r="AG159" s="403"/>
      <c r="AH159" s="403"/>
      <c r="AI159" s="403"/>
      <c r="AJ159" s="403"/>
      <c r="AK159" s="403"/>
      <c r="AL159" s="403"/>
      <c r="AM159" s="403"/>
      <c r="AN159" s="403"/>
      <c r="AO159" s="403"/>
      <c r="AP159" s="403"/>
      <c r="AQ159" s="403"/>
      <c r="AR159" s="403"/>
      <c r="AS159" s="403"/>
      <c r="AT159" s="403"/>
      <c r="AU159" s="403"/>
      <c r="AV159" s="403"/>
      <c r="AW159" s="403"/>
      <c r="AX159" s="403"/>
      <c r="AY159" s="403"/>
      <c r="AZ159" s="403"/>
      <c r="BA159" s="403"/>
      <c r="BB159" s="403"/>
      <c r="BC159" s="403"/>
      <c r="BD159" s="403"/>
      <c r="BE159" s="403"/>
      <c r="BF159" s="954"/>
      <c r="BG159" s="954"/>
      <c r="BH159" s="954"/>
      <c r="BI159" s="403"/>
      <c r="BJ159" s="403"/>
      <c r="BK159" s="403"/>
      <c r="BL159" s="403"/>
      <c r="BM159" s="403"/>
      <c r="BN159" s="403"/>
      <c r="BO159" s="403"/>
      <c r="BP159" s="403"/>
      <c r="BQ159" s="403"/>
      <c r="BR159" s="403"/>
      <c r="BS159" s="954"/>
      <c r="BT159" s="954"/>
      <c r="BU159" s="954"/>
      <c r="BV159" s="403"/>
      <c r="BW159" s="403"/>
      <c r="BX159" s="403"/>
      <c r="BY159" s="403"/>
      <c r="BZ159" s="403"/>
      <c r="CA159" s="403"/>
      <c r="CB159" s="403"/>
      <c r="CC159" s="403"/>
      <c r="CD159" s="403"/>
      <c r="CE159" s="403"/>
      <c r="CF159" s="403"/>
      <c r="CG159" s="403"/>
      <c r="CH159" s="403"/>
      <c r="CI159" s="403"/>
      <c r="CJ159" s="403"/>
      <c r="CK159" s="403"/>
      <c r="CL159" s="403"/>
      <c r="CM159" s="403"/>
      <c r="CN159" s="403"/>
      <c r="CO159" s="403"/>
      <c r="CP159" s="403"/>
      <c r="CQ159" s="403"/>
      <c r="CR159" s="403"/>
      <c r="CS159" s="403"/>
      <c r="CT159" s="403"/>
      <c r="CU159" s="403"/>
      <c r="CV159" s="403"/>
      <c r="CW159" s="403"/>
      <c r="CX159" s="403"/>
      <c r="CY159" s="403"/>
      <c r="CZ159" s="403"/>
      <c r="DA159" s="403"/>
      <c r="DB159" s="403"/>
      <c r="DC159" s="403"/>
      <c r="DD159" s="403"/>
      <c r="DE159" s="403"/>
      <c r="DF159" s="403"/>
      <c r="DG159" s="403"/>
      <c r="DH159" s="403"/>
      <c r="DI159" s="403"/>
      <c r="DJ159" s="403"/>
      <c r="DK159" s="403"/>
      <c r="DL159" s="403"/>
      <c r="DM159" s="403"/>
      <c r="DN159" s="403"/>
      <c r="DO159" s="403"/>
      <c r="DP159" s="403"/>
      <c r="DQ159" s="403"/>
      <c r="DR159" s="403"/>
      <c r="DS159" s="403"/>
      <c r="DT159" s="403"/>
      <c r="DU159" s="403"/>
      <c r="DV159" s="403"/>
      <c r="DW159" s="403"/>
      <c r="DX159" s="403"/>
      <c r="DY159" s="403"/>
      <c r="DZ159" s="403"/>
      <c r="EA159" s="403"/>
      <c r="EB159" s="403"/>
      <c r="EC159" s="403"/>
      <c r="ED159" s="403"/>
      <c r="EE159" s="403"/>
      <c r="EF159" s="403"/>
      <c r="EG159" s="403"/>
      <c r="EH159" s="403"/>
      <c r="EI159" s="403"/>
      <c r="EJ159" s="403"/>
      <c r="EK159" s="403"/>
      <c r="EL159" s="403"/>
      <c r="EM159" s="403"/>
      <c r="EN159" s="403"/>
      <c r="EO159" s="403"/>
      <c r="EP159" s="403"/>
      <c r="EQ159" s="403"/>
      <c r="ER159" s="403"/>
      <c r="ES159" s="403"/>
      <c r="ET159" s="403"/>
      <c r="EU159" s="403"/>
      <c r="EV159" s="403"/>
      <c r="EW159" s="403"/>
      <c r="EX159" s="403"/>
      <c r="EY159" s="403"/>
      <c r="EZ159" s="403"/>
      <c r="FA159" s="403"/>
      <c r="FB159" s="403"/>
      <c r="FC159" s="403"/>
      <c r="FD159" s="403"/>
      <c r="FE159" s="403"/>
      <c r="FF159" s="403"/>
      <c r="FG159" s="403"/>
      <c r="FH159" s="403"/>
    </row>
    <row r="160" spans="1:164" s="84" customFormat="1" ht="15">
      <c r="A160" s="407">
        <f t="shared" si="61"/>
        <v>191</v>
      </c>
      <c r="B160" s="404" t="s">
        <v>636</v>
      </c>
      <c r="C160" s="211" t="s">
        <v>790</v>
      </c>
      <c r="D160" s="1080" t="s">
        <v>646</v>
      </c>
      <c r="E160" s="1050">
        <f t="shared" si="62"/>
        <v>0</v>
      </c>
      <c r="F160" s="1064"/>
      <c r="G160" s="1065"/>
      <c r="H160" s="1305"/>
      <c r="I160" s="1306"/>
      <c r="J160" s="1307"/>
      <c r="K160" s="873"/>
      <c r="L160" s="314"/>
      <c r="P160" s="403"/>
      <c r="Q160" s="403"/>
      <c r="R160" s="403"/>
      <c r="S160" s="403"/>
      <c r="T160" s="403"/>
      <c r="U160" s="403"/>
      <c r="V160" s="403"/>
      <c r="W160" s="403"/>
      <c r="Z160" s="403"/>
      <c r="AA160" s="403"/>
      <c r="AB160" s="403"/>
      <c r="AC160" s="403"/>
      <c r="AD160" s="403"/>
      <c r="AE160" s="403"/>
      <c r="AF160" s="403"/>
      <c r="AG160" s="403"/>
      <c r="AH160" s="403"/>
      <c r="AI160" s="403"/>
      <c r="AJ160" s="403"/>
      <c r="AK160" s="403"/>
      <c r="AL160" s="403"/>
      <c r="AM160" s="403"/>
      <c r="AN160" s="403"/>
      <c r="AO160" s="403"/>
      <c r="AP160" s="403"/>
      <c r="AQ160" s="403"/>
      <c r="AR160" s="403"/>
      <c r="AS160" s="403"/>
      <c r="AT160" s="403"/>
      <c r="AU160" s="403"/>
      <c r="AV160" s="403"/>
      <c r="AW160" s="403"/>
      <c r="AX160" s="403"/>
      <c r="AY160" s="403"/>
      <c r="AZ160" s="403"/>
      <c r="BA160" s="403"/>
      <c r="BB160" s="403"/>
      <c r="BC160" s="403"/>
      <c r="BD160" s="403"/>
      <c r="BE160" s="403"/>
      <c r="BF160" s="954"/>
      <c r="BG160" s="954"/>
      <c r="BH160" s="954"/>
      <c r="BI160" s="403"/>
      <c r="BJ160" s="403"/>
      <c r="BK160" s="403"/>
      <c r="BL160" s="403"/>
      <c r="BM160" s="403"/>
      <c r="BN160" s="403"/>
      <c r="BO160" s="403"/>
      <c r="BP160" s="403"/>
      <c r="BQ160" s="403"/>
      <c r="BR160" s="403"/>
      <c r="BS160" s="954"/>
      <c r="BT160" s="954"/>
      <c r="BU160" s="954"/>
      <c r="BV160" s="403"/>
      <c r="BW160" s="403"/>
      <c r="BX160" s="403"/>
      <c r="BY160" s="403"/>
      <c r="BZ160" s="403"/>
      <c r="CA160" s="403"/>
      <c r="CB160" s="403"/>
      <c r="CC160" s="403"/>
      <c r="CD160" s="403"/>
      <c r="CE160" s="403"/>
      <c r="CF160" s="403"/>
      <c r="CG160" s="403"/>
      <c r="CH160" s="403"/>
      <c r="CI160" s="403"/>
      <c r="CJ160" s="403"/>
      <c r="CK160" s="403"/>
      <c r="CL160" s="403"/>
      <c r="CM160" s="403"/>
      <c r="CN160" s="403"/>
      <c r="CO160" s="403"/>
      <c r="CP160" s="403"/>
      <c r="CQ160" s="403"/>
      <c r="CR160" s="403"/>
      <c r="CS160" s="403"/>
      <c r="CT160" s="403"/>
      <c r="CU160" s="403"/>
      <c r="CV160" s="403"/>
      <c r="CW160" s="403"/>
      <c r="CX160" s="403"/>
      <c r="CY160" s="403"/>
      <c r="CZ160" s="403"/>
      <c r="DA160" s="403"/>
      <c r="DB160" s="403"/>
      <c r="DC160" s="403"/>
      <c r="DD160" s="403"/>
      <c r="DE160" s="403"/>
      <c r="DF160" s="403"/>
      <c r="DG160" s="403"/>
      <c r="DH160" s="403"/>
      <c r="DI160" s="403"/>
      <c r="DJ160" s="403"/>
      <c r="DK160" s="403"/>
      <c r="DL160" s="403"/>
      <c r="DM160" s="403"/>
      <c r="DN160" s="403"/>
      <c r="DO160" s="403"/>
      <c r="DP160" s="403"/>
      <c r="DQ160" s="403"/>
      <c r="DR160" s="403"/>
      <c r="DS160" s="403"/>
      <c r="DT160" s="403"/>
      <c r="DU160" s="403"/>
      <c r="DV160" s="403"/>
      <c r="DW160" s="403"/>
      <c r="DX160" s="403"/>
      <c r="DY160" s="403"/>
      <c r="DZ160" s="403"/>
      <c r="EA160" s="403"/>
      <c r="EB160" s="403"/>
      <c r="EC160" s="403"/>
      <c r="ED160" s="403"/>
      <c r="EE160" s="403"/>
      <c r="EF160" s="403"/>
      <c r="EG160" s="403"/>
      <c r="EH160" s="403"/>
      <c r="EI160" s="403"/>
      <c r="EJ160" s="403"/>
      <c r="EK160" s="403"/>
      <c r="EL160" s="403"/>
      <c r="EM160" s="403"/>
      <c r="EN160" s="403"/>
      <c r="EO160" s="403"/>
      <c r="EP160" s="403"/>
      <c r="EQ160" s="403"/>
      <c r="ER160" s="403"/>
      <c r="ES160" s="403"/>
      <c r="ET160" s="403"/>
      <c r="EU160" s="403"/>
      <c r="EV160" s="403"/>
      <c r="EW160" s="403"/>
      <c r="EX160" s="403"/>
      <c r="EY160" s="403"/>
      <c r="EZ160" s="403"/>
      <c r="FA160" s="403"/>
      <c r="FB160" s="403"/>
      <c r="FC160" s="403"/>
      <c r="FD160" s="403"/>
      <c r="FE160" s="403"/>
      <c r="FF160" s="403"/>
      <c r="FG160" s="403"/>
      <c r="FH160" s="403"/>
    </row>
    <row r="161" spans="1:164" s="84" customFormat="1" ht="15">
      <c r="A161" s="407">
        <f t="shared" si="61"/>
        <v>192</v>
      </c>
      <c r="B161" s="404" t="s">
        <v>636</v>
      </c>
      <c r="C161" s="211" t="s">
        <v>1310</v>
      </c>
      <c r="D161" s="211"/>
      <c r="E161" s="1050">
        <f t="shared" si="62"/>
        <v>0</v>
      </c>
      <c r="F161" s="1064"/>
      <c r="G161" s="1065"/>
      <c r="H161" s="1081">
        <f>E161/(SUM(E136:E160)+0.00000001)</f>
        <v>0</v>
      </c>
      <c r="I161" s="1082" t="s">
        <v>1311</v>
      </c>
      <c r="J161" s="1083"/>
      <c r="K161" s="873"/>
      <c r="L161" s="314"/>
      <c r="P161" s="403"/>
      <c r="Q161" s="403"/>
      <c r="R161" s="403"/>
      <c r="S161" s="403"/>
      <c r="T161" s="403"/>
      <c r="U161" s="403"/>
      <c r="V161" s="403"/>
      <c r="W161" s="403"/>
      <c r="Z161" s="403"/>
      <c r="AA161" s="403"/>
      <c r="AB161" s="403"/>
      <c r="AC161" s="403"/>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3"/>
      <c r="AY161" s="403"/>
      <c r="AZ161" s="403"/>
      <c r="BA161" s="403"/>
      <c r="BB161" s="403"/>
      <c r="BC161" s="403"/>
      <c r="BD161" s="403"/>
      <c r="BE161" s="403"/>
      <c r="BF161" s="954"/>
      <c r="BG161" s="954"/>
      <c r="BH161" s="954"/>
      <c r="BI161" s="403"/>
      <c r="BJ161" s="403"/>
      <c r="BK161" s="403"/>
      <c r="BL161" s="403"/>
      <c r="BM161" s="403"/>
      <c r="BN161" s="403"/>
      <c r="BO161" s="403"/>
      <c r="BP161" s="403"/>
      <c r="BQ161" s="403"/>
      <c r="BR161" s="403"/>
      <c r="BS161" s="954"/>
      <c r="BT161" s="954"/>
      <c r="BU161" s="954"/>
      <c r="BV161" s="403"/>
      <c r="BW161" s="403"/>
      <c r="BX161" s="403"/>
      <c r="BY161" s="403"/>
      <c r="BZ161" s="403"/>
      <c r="CA161" s="403"/>
      <c r="CB161" s="403"/>
      <c r="CC161" s="403"/>
      <c r="CD161" s="403"/>
      <c r="CE161" s="403"/>
      <c r="CF161" s="403"/>
      <c r="CG161" s="403"/>
      <c r="CH161" s="403"/>
      <c r="CI161" s="403"/>
      <c r="CJ161" s="403"/>
      <c r="CK161" s="403"/>
      <c r="CL161" s="403"/>
      <c r="CM161" s="403"/>
      <c r="CN161" s="403"/>
      <c r="CO161" s="403"/>
      <c r="CP161" s="403"/>
      <c r="CQ161" s="403"/>
      <c r="CR161" s="403"/>
      <c r="CS161" s="403"/>
      <c r="CT161" s="403"/>
      <c r="CU161" s="403"/>
      <c r="CV161" s="403"/>
      <c r="CW161" s="403"/>
      <c r="CX161" s="403"/>
      <c r="CY161" s="403"/>
      <c r="CZ161" s="403"/>
      <c r="DA161" s="403"/>
      <c r="DB161" s="403"/>
      <c r="DC161" s="403"/>
      <c r="DD161" s="403"/>
      <c r="DE161" s="403"/>
      <c r="DF161" s="403"/>
      <c r="DG161" s="403"/>
      <c r="DH161" s="403"/>
      <c r="DI161" s="403"/>
      <c r="DJ161" s="403"/>
      <c r="DK161" s="403"/>
      <c r="DL161" s="403"/>
      <c r="DM161" s="403"/>
      <c r="DN161" s="403"/>
      <c r="DO161" s="403"/>
      <c r="DP161" s="403"/>
      <c r="DQ161" s="403"/>
      <c r="DR161" s="403"/>
      <c r="DS161" s="403"/>
      <c r="DT161" s="403"/>
      <c r="DU161" s="403"/>
      <c r="DV161" s="403"/>
      <c r="DW161" s="403"/>
      <c r="DX161" s="403"/>
      <c r="DY161" s="403"/>
      <c r="DZ161" s="403"/>
      <c r="EA161" s="403"/>
      <c r="EB161" s="403"/>
      <c r="EC161" s="403"/>
      <c r="ED161" s="403"/>
      <c r="EE161" s="403"/>
      <c r="EF161" s="403"/>
      <c r="EG161" s="403"/>
      <c r="EH161" s="403"/>
      <c r="EI161" s="403"/>
      <c r="EJ161" s="403"/>
      <c r="EK161" s="403"/>
      <c r="EL161" s="403"/>
      <c r="EM161" s="403"/>
      <c r="EN161" s="403"/>
      <c r="EO161" s="403"/>
      <c r="EP161" s="403"/>
      <c r="EQ161" s="403"/>
      <c r="ER161" s="403"/>
      <c r="ES161" s="403"/>
      <c r="ET161" s="403"/>
      <c r="EU161" s="403"/>
      <c r="EV161" s="403"/>
      <c r="EW161" s="403"/>
      <c r="EX161" s="403"/>
      <c r="EY161" s="403"/>
      <c r="EZ161" s="403"/>
      <c r="FA161" s="403"/>
      <c r="FB161" s="403"/>
      <c r="FC161" s="403"/>
      <c r="FD161" s="403"/>
      <c r="FE161" s="403"/>
      <c r="FF161" s="403"/>
      <c r="FG161" s="403"/>
      <c r="FH161" s="403"/>
    </row>
    <row r="162" spans="1:164" s="84" customFormat="1" ht="15">
      <c r="A162" s="407">
        <f t="shared" si="61"/>
        <v>193</v>
      </c>
      <c r="B162" s="404" t="s">
        <v>636</v>
      </c>
      <c r="C162" s="1084" t="s">
        <v>1312</v>
      </c>
      <c r="D162" s="211"/>
      <c r="E162" s="1050">
        <f>SUM(E136:E161)</f>
        <v>0</v>
      </c>
      <c r="F162" s="1050">
        <f>SUM(F136:F161)</f>
        <v>0</v>
      </c>
      <c r="G162" s="1050">
        <f>SUM(G136:G161)</f>
        <v>0</v>
      </c>
      <c r="H162" s="211"/>
      <c r="I162" s="211"/>
      <c r="J162" s="211"/>
      <c r="K162" s="312"/>
      <c r="L162" s="314"/>
      <c r="P162" s="403"/>
      <c r="Q162" s="403"/>
      <c r="R162" s="403"/>
      <c r="S162" s="403"/>
      <c r="T162" s="403"/>
      <c r="U162" s="403"/>
      <c r="V162" s="403"/>
      <c r="W162" s="403"/>
      <c r="Z162" s="403"/>
      <c r="AA162" s="403"/>
      <c r="AB162" s="403"/>
      <c r="AC162" s="403"/>
      <c r="AD162" s="403"/>
      <c r="AE162" s="403"/>
      <c r="AF162" s="403"/>
      <c r="AG162" s="403"/>
      <c r="AH162" s="403"/>
      <c r="AI162" s="403"/>
      <c r="AJ162" s="403"/>
      <c r="AK162" s="403"/>
      <c r="AL162" s="403"/>
      <c r="AM162" s="403"/>
      <c r="AN162" s="403"/>
      <c r="AO162" s="403"/>
      <c r="AP162" s="403"/>
      <c r="AQ162" s="403"/>
      <c r="AR162" s="403"/>
      <c r="AS162" s="403"/>
      <c r="AT162" s="403"/>
      <c r="AU162" s="403"/>
      <c r="AV162" s="403"/>
      <c r="AW162" s="403"/>
      <c r="AX162" s="403"/>
      <c r="AY162" s="403"/>
      <c r="AZ162" s="403"/>
      <c r="BA162" s="403"/>
      <c r="BB162" s="403"/>
      <c r="BC162" s="403"/>
      <c r="BD162" s="403"/>
      <c r="BE162" s="403"/>
      <c r="BF162" s="954"/>
      <c r="BG162" s="954"/>
      <c r="BH162" s="954"/>
      <c r="BI162" s="403"/>
      <c r="BJ162" s="403"/>
      <c r="BK162" s="403"/>
      <c r="BL162" s="403"/>
      <c r="BM162" s="403"/>
      <c r="BN162" s="403"/>
      <c r="BO162" s="403"/>
      <c r="BP162" s="403"/>
      <c r="BQ162" s="403"/>
      <c r="BR162" s="403"/>
      <c r="BS162" s="954"/>
      <c r="BT162" s="954"/>
      <c r="BU162" s="954"/>
      <c r="BV162" s="403"/>
      <c r="BW162" s="403"/>
      <c r="BX162" s="403"/>
      <c r="BY162" s="403"/>
      <c r="BZ162" s="403"/>
      <c r="CA162" s="403"/>
      <c r="CB162" s="403"/>
      <c r="CC162" s="403"/>
      <c r="CD162" s="403"/>
      <c r="CE162" s="403"/>
      <c r="CF162" s="403"/>
      <c r="CG162" s="403"/>
      <c r="CH162" s="403"/>
      <c r="CI162" s="403"/>
      <c r="CJ162" s="403"/>
      <c r="CK162" s="403"/>
      <c r="CL162" s="403"/>
      <c r="CM162" s="403"/>
      <c r="CN162" s="403"/>
      <c r="CO162" s="403"/>
      <c r="CP162" s="403"/>
      <c r="CQ162" s="403"/>
      <c r="CR162" s="403"/>
      <c r="CS162" s="403"/>
      <c r="CT162" s="403"/>
      <c r="CU162" s="403"/>
      <c r="CV162" s="403"/>
      <c r="CW162" s="403"/>
      <c r="CX162" s="403"/>
      <c r="CY162" s="403"/>
      <c r="CZ162" s="403"/>
      <c r="DA162" s="403"/>
      <c r="DB162" s="403"/>
      <c r="DC162" s="403"/>
      <c r="DD162" s="403"/>
      <c r="DE162" s="403"/>
      <c r="DF162" s="403"/>
      <c r="DG162" s="403"/>
      <c r="DH162" s="403"/>
      <c r="DI162" s="403"/>
      <c r="DJ162" s="403"/>
      <c r="DK162" s="403"/>
      <c r="DL162" s="403"/>
      <c r="DM162" s="403"/>
      <c r="DN162" s="403"/>
      <c r="DO162" s="403"/>
      <c r="DP162" s="403"/>
      <c r="DQ162" s="403"/>
      <c r="DR162" s="403"/>
      <c r="DS162" s="403"/>
      <c r="DT162" s="403"/>
      <c r="DU162" s="403"/>
      <c r="DV162" s="403"/>
      <c r="DW162" s="403"/>
      <c r="DX162" s="403"/>
      <c r="DY162" s="403"/>
      <c r="DZ162" s="403"/>
      <c r="EA162" s="403"/>
      <c r="EB162" s="403"/>
      <c r="EC162" s="403"/>
      <c r="ED162" s="403"/>
      <c r="EE162" s="403"/>
      <c r="EF162" s="403"/>
      <c r="EG162" s="403"/>
      <c r="EH162" s="403"/>
      <c r="EI162" s="403"/>
      <c r="EJ162" s="403"/>
      <c r="EK162" s="403"/>
      <c r="EL162" s="403"/>
      <c r="EM162" s="403"/>
      <c r="EN162" s="403"/>
      <c r="EO162" s="403"/>
      <c r="EP162" s="403"/>
      <c r="EQ162" s="403"/>
      <c r="ER162" s="403"/>
      <c r="ES162" s="403"/>
      <c r="ET162" s="403"/>
      <c r="EU162" s="403"/>
      <c r="EV162" s="403"/>
      <c r="EW162" s="403"/>
      <c r="EX162" s="403"/>
      <c r="EY162" s="403"/>
      <c r="EZ162" s="403"/>
      <c r="FA162" s="403"/>
      <c r="FB162" s="403"/>
      <c r="FC162" s="403"/>
      <c r="FD162" s="403"/>
      <c r="FE162" s="403"/>
      <c r="FF162" s="403"/>
      <c r="FG162" s="403"/>
      <c r="FH162" s="403"/>
    </row>
    <row r="163" spans="1:164" ht="14.25">
      <c r="A163" s="302"/>
      <c r="B163" s="222"/>
      <c r="C163" s="250"/>
      <c r="D163" s="250"/>
      <c r="E163" s="250"/>
      <c r="F163" s="353"/>
      <c r="G163" s="353"/>
      <c r="H163" s="353"/>
      <c r="I163" s="250"/>
      <c r="J163" s="250"/>
      <c r="K163" s="250"/>
      <c r="L163" s="335"/>
      <c r="N163" s="84"/>
      <c r="O163" s="84"/>
      <c r="P163" s="403"/>
      <c r="Q163" s="403"/>
      <c r="R163" s="403"/>
      <c r="S163" s="403"/>
      <c r="T163" s="403"/>
      <c r="U163" s="403"/>
      <c r="V163" s="403"/>
      <c r="W163" s="403"/>
      <c r="Y163" s="84"/>
      <c r="Z163" s="403"/>
      <c r="AA163" s="403"/>
      <c r="AB163" s="403"/>
      <c r="AC163" s="403"/>
      <c r="AD163" s="403"/>
      <c r="AE163" s="403"/>
      <c r="AF163" s="403"/>
      <c r="AG163" s="403"/>
      <c r="AH163" s="403"/>
      <c r="AI163" s="403"/>
      <c r="AJ163" s="486"/>
      <c r="AK163" s="486"/>
      <c r="AL163" s="403"/>
      <c r="AM163" s="403"/>
      <c r="AN163" s="403"/>
      <c r="AO163" s="403"/>
      <c r="AP163" s="403"/>
      <c r="AQ163" s="403"/>
      <c r="AR163" s="403"/>
      <c r="AS163" s="403"/>
      <c r="AT163" s="403"/>
      <c r="AU163" s="403"/>
      <c r="AV163" s="403"/>
      <c r="AW163" s="486"/>
      <c r="AX163" s="486"/>
      <c r="AY163" s="403"/>
      <c r="AZ163" s="403"/>
      <c r="BA163" s="403"/>
      <c r="BB163" s="403"/>
      <c r="BC163" s="403"/>
      <c r="BD163" s="403"/>
      <c r="BE163" s="403"/>
      <c r="BF163" s="954"/>
      <c r="BG163" s="954"/>
      <c r="BH163" s="954"/>
      <c r="BI163" s="403"/>
      <c r="BJ163" s="486"/>
      <c r="BK163" s="486"/>
      <c r="BL163" s="403"/>
      <c r="BM163" s="403"/>
      <c r="BN163" s="403"/>
      <c r="BO163" s="403"/>
      <c r="BP163" s="403"/>
      <c r="BQ163" s="403"/>
      <c r="BR163" s="403"/>
      <c r="BS163" s="954"/>
      <c r="BT163" s="954"/>
      <c r="BU163" s="954"/>
      <c r="BV163" s="403"/>
      <c r="BW163" s="486"/>
      <c r="BX163" s="486"/>
      <c r="BY163" s="486"/>
      <c r="BZ163" s="486"/>
      <c r="CA163" s="486"/>
      <c r="CB163" s="486"/>
      <c r="CC163" s="486"/>
      <c r="CD163" s="486"/>
      <c r="CE163" s="486"/>
      <c r="CF163" s="486"/>
      <c r="CG163" s="486"/>
      <c r="CH163" s="486"/>
      <c r="CI163" s="486"/>
      <c r="CJ163" s="486"/>
      <c r="CK163" s="486"/>
      <c r="CL163" s="486"/>
      <c r="CM163" s="486"/>
      <c r="CN163" s="486"/>
      <c r="CO163" s="486"/>
      <c r="CP163" s="486"/>
      <c r="CQ163" s="486"/>
      <c r="CR163" s="486"/>
      <c r="CS163" s="486"/>
      <c r="CT163" s="486"/>
      <c r="CU163" s="486"/>
      <c r="CV163" s="486"/>
      <c r="CW163" s="486"/>
      <c r="CX163" s="486"/>
      <c r="CY163" s="486"/>
      <c r="CZ163" s="486"/>
      <c r="DA163" s="486"/>
      <c r="DB163" s="486"/>
      <c r="DC163" s="486"/>
      <c r="DD163" s="486"/>
      <c r="DE163" s="486"/>
      <c r="DF163" s="486"/>
      <c r="DG163" s="486"/>
      <c r="DH163" s="486"/>
      <c r="DI163" s="486"/>
      <c r="DJ163" s="486"/>
      <c r="DK163" s="486"/>
      <c r="DL163" s="486"/>
      <c r="DM163" s="486"/>
      <c r="DN163" s="486"/>
      <c r="DO163" s="486"/>
      <c r="DP163" s="486"/>
      <c r="DQ163" s="486"/>
      <c r="DR163" s="486"/>
      <c r="DS163" s="486"/>
      <c r="DT163" s="486"/>
      <c r="DU163" s="486"/>
      <c r="DV163" s="486"/>
      <c r="DW163" s="486"/>
      <c r="DX163" s="486"/>
      <c r="DY163" s="486"/>
      <c r="DZ163" s="486"/>
      <c r="EA163" s="486"/>
      <c r="EB163" s="486"/>
      <c r="EC163" s="486"/>
      <c r="ED163" s="486"/>
      <c r="EE163" s="486"/>
      <c r="EF163" s="486"/>
      <c r="EG163" s="486"/>
      <c r="EH163" s="486"/>
      <c r="EI163" s="486"/>
      <c r="EJ163" s="486"/>
      <c r="EK163" s="486"/>
      <c r="EL163" s="486"/>
      <c r="EM163" s="486"/>
      <c r="EN163" s="486"/>
      <c r="EO163" s="486"/>
      <c r="EP163" s="486"/>
      <c r="EQ163" s="486"/>
      <c r="ER163" s="486"/>
      <c r="ES163" s="486"/>
      <c r="ET163" s="486"/>
      <c r="EU163" s="486"/>
      <c r="EV163" s="486"/>
      <c r="EW163" s="486"/>
      <c r="EX163" s="486"/>
      <c r="EY163" s="486"/>
      <c r="EZ163" s="486"/>
      <c r="FA163" s="486"/>
      <c r="FB163" s="486"/>
      <c r="FC163" s="486"/>
      <c r="FD163" s="486"/>
      <c r="FE163" s="486"/>
      <c r="FF163" s="486"/>
      <c r="FG163" s="486"/>
      <c r="FH163" s="486"/>
    </row>
    <row r="164" spans="1:164" ht="15.75">
      <c r="A164" s="407">
        <f>A162+1</f>
        <v>194</v>
      </c>
      <c r="B164" s="404" t="s">
        <v>636</v>
      </c>
      <c r="C164" s="214" t="s">
        <v>1313</v>
      </c>
      <c r="D164" s="405"/>
      <c r="E164" s="1050">
        <f>E129+E133+E162</f>
        <v>0</v>
      </c>
      <c r="F164" s="755">
        <f>F129+F133+F162</f>
        <v>0</v>
      </c>
      <c r="G164" s="755">
        <f>G129+G133+G162</f>
        <v>0</v>
      </c>
      <c r="H164" s="250"/>
      <c r="I164" s="304"/>
      <c r="J164" s="304"/>
      <c r="K164" s="304"/>
      <c r="L164" s="306"/>
      <c r="N164" s="84"/>
      <c r="O164" s="84"/>
      <c r="P164" s="403"/>
      <c r="Q164" s="403"/>
      <c r="R164" s="403"/>
      <c r="S164" s="403"/>
      <c r="T164" s="403"/>
      <c r="U164" s="403"/>
      <c r="V164" s="403"/>
      <c r="W164" s="403"/>
      <c r="Y164" s="84"/>
      <c r="Z164" s="403"/>
      <c r="AA164" s="403"/>
      <c r="AB164" s="403"/>
      <c r="AC164" s="403"/>
      <c r="AD164" s="403"/>
      <c r="AE164" s="403"/>
      <c r="AF164" s="403"/>
      <c r="AG164" s="403"/>
      <c r="AH164" s="403"/>
      <c r="AI164" s="403"/>
      <c r="AJ164" s="486"/>
      <c r="AK164" s="486"/>
      <c r="AL164" s="403"/>
      <c r="AM164" s="403"/>
      <c r="AN164" s="403"/>
      <c r="AO164" s="403"/>
      <c r="AP164" s="403"/>
      <c r="AQ164" s="403"/>
      <c r="AR164" s="403"/>
      <c r="AS164" s="403"/>
      <c r="AT164" s="403"/>
      <c r="AU164" s="403"/>
      <c r="AV164" s="403"/>
      <c r="AW164" s="486"/>
      <c r="AX164" s="486"/>
      <c r="AY164" s="403"/>
      <c r="AZ164" s="403"/>
      <c r="BA164" s="403"/>
      <c r="BB164" s="403"/>
      <c r="BC164" s="403"/>
      <c r="BD164" s="403"/>
      <c r="BE164" s="403"/>
      <c r="BF164" s="954"/>
      <c r="BG164" s="954"/>
      <c r="BH164" s="954"/>
      <c r="BI164" s="403"/>
      <c r="BJ164" s="486"/>
      <c r="BK164" s="486"/>
      <c r="BL164" s="403"/>
      <c r="BM164" s="403"/>
      <c r="BN164" s="403"/>
      <c r="BO164" s="403"/>
      <c r="BP164" s="403"/>
      <c r="BQ164" s="403"/>
      <c r="BR164" s="403"/>
      <c r="BS164" s="954"/>
      <c r="BT164" s="954"/>
      <c r="BU164" s="954"/>
      <c r="BV164" s="403"/>
      <c r="BW164" s="486"/>
      <c r="BX164" s="486"/>
      <c r="BY164" s="486"/>
      <c r="BZ164" s="486"/>
      <c r="CA164" s="486"/>
      <c r="CB164" s="486"/>
      <c r="CC164" s="486"/>
      <c r="CD164" s="486"/>
      <c r="CE164" s="486"/>
      <c r="CF164" s="486"/>
      <c r="CG164" s="486"/>
      <c r="CH164" s="486"/>
      <c r="CI164" s="486"/>
      <c r="CJ164" s="486"/>
      <c r="CK164" s="486"/>
      <c r="CL164" s="486"/>
      <c r="CM164" s="486"/>
      <c r="CN164" s="486"/>
      <c r="CO164" s="486"/>
      <c r="CP164" s="486"/>
      <c r="CQ164" s="486"/>
      <c r="CR164" s="486"/>
      <c r="CS164" s="486"/>
      <c r="CT164" s="486"/>
      <c r="CU164" s="486"/>
      <c r="CV164" s="486"/>
      <c r="CW164" s="486"/>
      <c r="CX164" s="486"/>
      <c r="CY164" s="486"/>
      <c r="CZ164" s="486"/>
      <c r="DA164" s="486"/>
      <c r="DB164" s="486"/>
      <c r="DC164" s="486"/>
      <c r="DD164" s="486"/>
      <c r="DE164" s="486"/>
      <c r="DF164" s="486"/>
      <c r="DG164" s="486"/>
      <c r="DH164" s="486"/>
      <c r="DI164" s="486"/>
      <c r="DJ164" s="486"/>
      <c r="DK164" s="486"/>
      <c r="DL164" s="486"/>
      <c r="DM164" s="486"/>
      <c r="DN164" s="486"/>
      <c r="DO164" s="486"/>
      <c r="DP164" s="486"/>
      <c r="DQ164" s="486"/>
      <c r="DR164" s="486"/>
      <c r="DS164" s="486"/>
      <c r="DT164" s="486"/>
      <c r="DU164" s="486"/>
      <c r="DV164" s="486"/>
      <c r="DW164" s="486"/>
      <c r="DX164" s="486"/>
      <c r="DY164" s="486"/>
      <c r="DZ164" s="486"/>
      <c r="EA164" s="486"/>
      <c r="EB164" s="486"/>
      <c r="EC164" s="486"/>
      <c r="ED164" s="486"/>
      <c r="EE164" s="486"/>
      <c r="EF164" s="486"/>
      <c r="EG164" s="486"/>
      <c r="EH164" s="486"/>
      <c r="EI164" s="486"/>
      <c r="EJ164" s="486"/>
      <c r="EK164" s="486"/>
      <c r="EL164" s="486"/>
      <c r="EM164" s="486"/>
      <c r="EN164" s="486"/>
      <c r="EO164" s="486"/>
      <c r="EP164" s="486"/>
      <c r="EQ164" s="486"/>
      <c r="ER164" s="486"/>
      <c r="ES164" s="486"/>
      <c r="ET164" s="486"/>
      <c r="EU164" s="486"/>
      <c r="EV164" s="486"/>
      <c r="EW164" s="486"/>
      <c r="EX164" s="486"/>
      <c r="EY164" s="486"/>
      <c r="EZ164" s="486"/>
      <c r="FA164" s="486"/>
      <c r="FB164" s="486"/>
      <c r="FC164" s="486"/>
      <c r="FD164" s="486"/>
      <c r="FE164" s="486"/>
      <c r="FF164" s="486"/>
      <c r="FG164" s="486"/>
      <c r="FH164" s="486"/>
    </row>
    <row r="165" spans="1:164" ht="15.75">
      <c r="A165" s="407"/>
      <c r="B165" s="404"/>
      <c r="C165" s="214" t="s">
        <v>1314</v>
      </c>
      <c r="D165" s="405"/>
      <c r="E165" s="1055"/>
      <c r="F165" s="329"/>
      <c r="G165" s="329"/>
      <c r="H165" s="250"/>
      <c r="I165" s="304"/>
      <c r="J165" s="304"/>
      <c r="K165" s="304"/>
      <c r="L165" s="306"/>
      <c r="N165" s="84"/>
      <c r="O165" s="84"/>
      <c r="P165" s="403"/>
      <c r="Q165" s="403"/>
      <c r="R165" s="403"/>
      <c r="S165" s="403"/>
      <c r="T165" s="403"/>
      <c r="U165" s="403"/>
      <c r="V165" s="403"/>
      <c r="W165" s="403"/>
      <c r="Y165" s="84"/>
      <c r="Z165" s="403"/>
      <c r="AA165" s="403"/>
      <c r="AB165" s="403"/>
      <c r="AC165" s="403"/>
      <c r="AD165" s="403"/>
      <c r="AE165" s="403"/>
      <c r="AF165" s="403"/>
      <c r="AG165" s="403"/>
      <c r="AH165" s="403"/>
      <c r="AI165" s="403"/>
      <c r="AJ165" s="486"/>
      <c r="AK165" s="486"/>
      <c r="AL165" s="403"/>
      <c r="AM165" s="403"/>
      <c r="AN165" s="403"/>
      <c r="AO165" s="403"/>
      <c r="AP165" s="403"/>
      <c r="AQ165" s="403"/>
      <c r="AR165" s="403"/>
      <c r="AS165" s="403"/>
      <c r="AT165" s="403"/>
      <c r="AU165" s="403"/>
      <c r="AV165" s="403"/>
      <c r="AW165" s="486"/>
      <c r="AX165" s="486"/>
      <c r="AY165" s="403"/>
      <c r="AZ165" s="403"/>
      <c r="BA165" s="403"/>
      <c r="BB165" s="403"/>
      <c r="BC165" s="403"/>
      <c r="BD165" s="403"/>
      <c r="BE165" s="403"/>
      <c r="BF165" s="954"/>
      <c r="BG165" s="954"/>
      <c r="BH165" s="954"/>
      <c r="BI165" s="403"/>
      <c r="BJ165" s="486"/>
      <c r="BK165" s="486"/>
      <c r="BL165" s="403"/>
      <c r="BM165" s="403"/>
      <c r="BN165" s="403"/>
      <c r="BO165" s="403"/>
      <c r="BP165" s="403"/>
      <c r="BQ165" s="403"/>
      <c r="BR165" s="403"/>
      <c r="BS165" s="954"/>
      <c r="BT165" s="954"/>
      <c r="BU165" s="954"/>
      <c r="BV165" s="403"/>
      <c r="BW165" s="486"/>
      <c r="BX165" s="486"/>
      <c r="BY165" s="486"/>
      <c r="BZ165" s="486"/>
      <c r="CA165" s="486"/>
      <c r="CB165" s="486"/>
      <c r="CC165" s="486"/>
      <c r="CD165" s="486"/>
      <c r="CE165" s="486"/>
      <c r="CF165" s="486"/>
      <c r="CG165" s="486"/>
      <c r="CH165" s="486"/>
      <c r="CI165" s="486"/>
      <c r="CJ165" s="486"/>
      <c r="CK165" s="486"/>
      <c r="CL165" s="486"/>
      <c r="CM165" s="486"/>
      <c r="CN165" s="486"/>
      <c r="CO165" s="486"/>
      <c r="CP165" s="486"/>
      <c r="CQ165" s="486"/>
      <c r="CR165" s="486"/>
      <c r="CS165" s="486"/>
      <c r="CT165" s="486"/>
      <c r="CU165" s="486"/>
      <c r="CV165" s="486"/>
      <c r="CW165" s="486"/>
      <c r="CX165" s="486"/>
      <c r="CY165" s="486"/>
      <c r="CZ165" s="486"/>
      <c r="DA165" s="486"/>
      <c r="DB165" s="486"/>
      <c r="DC165" s="486"/>
      <c r="DD165" s="486"/>
      <c r="DE165" s="486"/>
      <c r="DF165" s="486"/>
      <c r="DG165" s="486"/>
      <c r="DH165" s="486"/>
      <c r="DI165" s="486"/>
      <c r="DJ165" s="486"/>
      <c r="DK165" s="486"/>
      <c r="DL165" s="486"/>
      <c r="DM165" s="486"/>
      <c r="DN165" s="486"/>
      <c r="DO165" s="486"/>
      <c r="DP165" s="486"/>
      <c r="DQ165" s="486"/>
      <c r="DR165" s="486"/>
      <c r="DS165" s="486"/>
      <c r="DT165" s="486"/>
      <c r="DU165" s="486"/>
      <c r="DV165" s="486"/>
      <c r="DW165" s="486"/>
      <c r="DX165" s="486"/>
      <c r="DY165" s="486"/>
      <c r="DZ165" s="486"/>
      <c r="EA165" s="486"/>
      <c r="EB165" s="486"/>
      <c r="EC165" s="486"/>
      <c r="ED165" s="486"/>
      <c r="EE165" s="486"/>
      <c r="EF165" s="486"/>
      <c r="EG165" s="486"/>
      <c r="EH165" s="486"/>
      <c r="EI165" s="486"/>
      <c r="EJ165" s="486"/>
      <c r="EK165" s="486"/>
      <c r="EL165" s="486"/>
      <c r="EM165" s="486"/>
      <c r="EN165" s="486"/>
      <c r="EO165" s="486"/>
      <c r="EP165" s="486"/>
      <c r="EQ165" s="486"/>
      <c r="ER165" s="486"/>
      <c r="ES165" s="486"/>
      <c r="ET165" s="486"/>
      <c r="EU165" s="486"/>
      <c r="EV165" s="486"/>
      <c r="EW165" s="486"/>
      <c r="EX165" s="486"/>
      <c r="EY165" s="486"/>
      <c r="EZ165" s="486"/>
      <c r="FA165" s="486"/>
      <c r="FB165" s="486"/>
      <c r="FC165" s="486"/>
      <c r="FD165" s="486"/>
      <c r="FE165" s="486"/>
      <c r="FF165" s="486"/>
      <c r="FG165" s="486"/>
      <c r="FH165" s="486"/>
    </row>
    <row r="166" spans="1:164" ht="14.25">
      <c r="A166" s="407"/>
      <c r="B166" s="404"/>
      <c r="C166" s="775"/>
      <c r="D166" s="775"/>
      <c r="E166" s="1054"/>
      <c r="F166" s="353"/>
      <c r="G166" s="353"/>
      <c r="H166" s="250"/>
      <c r="I166" s="250"/>
      <c r="J166" s="250"/>
      <c r="K166" s="250"/>
      <c r="L166" s="335"/>
      <c r="N166" s="84"/>
      <c r="O166" s="84"/>
      <c r="P166" s="403"/>
      <c r="Q166" s="403"/>
      <c r="R166" s="403"/>
      <c r="S166" s="403"/>
      <c r="T166" s="403"/>
      <c r="U166" s="403"/>
      <c r="V166" s="403"/>
      <c r="W166" s="403"/>
      <c r="Y166" s="84"/>
      <c r="Z166" s="403"/>
      <c r="AA166" s="403"/>
      <c r="AB166" s="403"/>
      <c r="AC166" s="403"/>
      <c r="AD166" s="403"/>
      <c r="AE166" s="403"/>
      <c r="AF166" s="403"/>
      <c r="AG166" s="403"/>
      <c r="AH166" s="403"/>
      <c r="AI166" s="403"/>
      <c r="AJ166" s="486"/>
      <c r="AK166" s="486"/>
      <c r="AL166" s="403"/>
      <c r="AM166" s="403"/>
      <c r="AN166" s="403"/>
      <c r="AO166" s="403"/>
      <c r="AP166" s="403"/>
      <c r="AQ166" s="403"/>
      <c r="AR166" s="403"/>
      <c r="AS166" s="403"/>
      <c r="AT166" s="403"/>
      <c r="AU166" s="403"/>
      <c r="AV166" s="403"/>
      <c r="AW166" s="486"/>
      <c r="AX166" s="486"/>
      <c r="AY166" s="403"/>
      <c r="AZ166" s="403"/>
      <c r="BA166" s="403"/>
      <c r="BB166" s="403"/>
      <c r="BC166" s="403"/>
      <c r="BD166" s="403"/>
      <c r="BE166" s="403"/>
      <c r="BF166" s="954"/>
      <c r="BG166" s="954"/>
      <c r="BH166" s="954"/>
      <c r="BI166" s="403"/>
      <c r="BJ166" s="486"/>
      <c r="BK166" s="486"/>
      <c r="BL166" s="403"/>
      <c r="BM166" s="403"/>
      <c r="BN166" s="403"/>
      <c r="BO166" s="403"/>
      <c r="BP166" s="403"/>
      <c r="BQ166" s="403"/>
      <c r="BR166" s="403"/>
      <c r="BS166" s="954"/>
      <c r="BT166" s="954"/>
      <c r="BU166" s="954"/>
      <c r="BV166" s="403"/>
      <c r="BW166" s="486"/>
      <c r="BX166" s="486"/>
      <c r="BY166" s="486"/>
      <c r="BZ166" s="486"/>
      <c r="CA166" s="486"/>
      <c r="CB166" s="486"/>
      <c r="CC166" s="486"/>
      <c r="CD166" s="486"/>
      <c r="CE166" s="486"/>
      <c r="CF166" s="486"/>
      <c r="CG166" s="486"/>
      <c r="CH166" s="486"/>
      <c r="CI166" s="486"/>
      <c r="CJ166" s="486"/>
      <c r="CK166" s="486"/>
      <c r="CL166" s="486"/>
      <c r="CM166" s="486"/>
      <c r="CN166" s="486"/>
      <c r="CO166" s="486"/>
      <c r="CP166" s="486"/>
      <c r="CQ166" s="486"/>
      <c r="CR166" s="486"/>
      <c r="CS166" s="486"/>
      <c r="CT166" s="486"/>
      <c r="CU166" s="486"/>
      <c r="CV166" s="486"/>
      <c r="CW166" s="486"/>
      <c r="CX166" s="486"/>
      <c r="CY166" s="486"/>
      <c r="CZ166" s="486"/>
      <c r="DA166" s="486"/>
      <c r="DB166" s="486"/>
      <c r="DC166" s="486"/>
      <c r="DD166" s="486"/>
      <c r="DE166" s="486"/>
      <c r="DF166" s="486"/>
      <c r="DG166" s="486"/>
      <c r="DH166" s="486"/>
      <c r="DI166" s="486"/>
      <c r="DJ166" s="486"/>
      <c r="DK166" s="486"/>
      <c r="DL166" s="486"/>
      <c r="DM166" s="486"/>
      <c r="DN166" s="486"/>
      <c r="DO166" s="486"/>
      <c r="DP166" s="486"/>
      <c r="DQ166" s="486"/>
      <c r="DR166" s="486"/>
      <c r="DS166" s="486"/>
      <c r="DT166" s="486"/>
      <c r="DU166" s="486"/>
      <c r="DV166" s="486"/>
      <c r="DW166" s="486"/>
      <c r="DX166" s="486"/>
      <c r="DY166" s="486"/>
      <c r="DZ166" s="486"/>
      <c r="EA166" s="486"/>
      <c r="EB166" s="486"/>
      <c r="EC166" s="486"/>
      <c r="ED166" s="486"/>
      <c r="EE166" s="486"/>
      <c r="EF166" s="486"/>
      <c r="EG166" s="486"/>
      <c r="EH166" s="486"/>
      <c r="EI166" s="486"/>
      <c r="EJ166" s="486"/>
      <c r="EK166" s="486"/>
      <c r="EL166" s="486"/>
      <c r="EM166" s="486"/>
      <c r="EN166" s="486"/>
      <c r="EO166" s="486"/>
      <c r="EP166" s="486"/>
      <c r="EQ166" s="486"/>
      <c r="ER166" s="486"/>
      <c r="ES166" s="486"/>
      <c r="ET166" s="486"/>
      <c r="EU166" s="486"/>
      <c r="EV166" s="486"/>
      <c r="EW166" s="486"/>
      <c r="EX166" s="486"/>
      <c r="EY166" s="486"/>
      <c r="EZ166" s="486"/>
      <c r="FA166" s="486"/>
      <c r="FB166" s="486"/>
      <c r="FC166" s="486"/>
      <c r="FD166" s="486"/>
      <c r="FE166" s="486"/>
      <c r="FF166" s="486"/>
      <c r="FG166" s="486"/>
      <c r="FH166" s="486"/>
    </row>
    <row r="167" spans="1:164" ht="15.75">
      <c r="A167" s="407">
        <f>A164+1</f>
        <v>195</v>
      </c>
      <c r="B167" s="404" t="s">
        <v>636</v>
      </c>
      <c r="C167" s="405" t="s">
        <v>1315</v>
      </c>
      <c r="D167" s="405"/>
      <c r="E167" s="1050">
        <f>F167+G167</f>
        <v>0</v>
      </c>
      <c r="F167" s="1064"/>
      <c r="G167" s="1065"/>
      <c r="H167" s="1305"/>
      <c r="I167" s="1306"/>
      <c r="J167" s="1307"/>
      <c r="K167" s="873"/>
      <c r="L167" s="335"/>
      <c r="N167" s="84"/>
      <c r="O167" s="84"/>
      <c r="P167" s="403"/>
      <c r="Q167" s="403"/>
      <c r="R167" s="403"/>
      <c r="S167" s="403"/>
      <c r="T167" s="403"/>
      <c r="U167" s="403"/>
      <c r="V167" s="403"/>
      <c r="W167" s="403"/>
      <c r="Y167" s="84"/>
      <c r="Z167" s="403"/>
      <c r="AA167" s="403"/>
      <c r="AB167" s="403"/>
      <c r="AC167" s="403"/>
      <c r="AD167" s="403"/>
      <c r="AE167" s="403"/>
      <c r="AF167" s="403"/>
      <c r="AG167" s="403"/>
      <c r="AH167" s="403"/>
      <c r="AI167" s="403"/>
      <c r="AJ167" s="486"/>
      <c r="AK167" s="486"/>
      <c r="AL167" s="403"/>
      <c r="AM167" s="403"/>
      <c r="AN167" s="403"/>
      <c r="AO167" s="403"/>
      <c r="AP167" s="403"/>
      <c r="AQ167" s="403"/>
      <c r="AR167" s="403"/>
      <c r="AS167" s="403"/>
      <c r="AT167" s="403"/>
      <c r="AU167" s="403"/>
      <c r="AV167" s="403"/>
      <c r="AW167" s="486"/>
      <c r="AX167" s="486"/>
      <c r="AY167" s="403"/>
      <c r="AZ167" s="403"/>
      <c r="BA167" s="403"/>
      <c r="BB167" s="403"/>
      <c r="BC167" s="403"/>
      <c r="BD167" s="403"/>
      <c r="BE167" s="403"/>
      <c r="BF167" s="954"/>
      <c r="BG167" s="954"/>
      <c r="BH167" s="954"/>
      <c r="BI167" s="403"/>
      <c r="BJ167" s="486"/>
      <c r="BK167" s="486"/>
      <c r="BL167" s="403"/>
      <c r="BM167" s="403"/>
      <c r="BN167" s="403"/>
      <c r="BO167" s="403"/>
      <c r="BP167" s="403"/>
      <c r="BQ167" s="403"/>
      <c r="BR167" s="403"/>
      <c r="BS167" s="954"/>
      <c r="BT167" s="954"/>
      <c r="BU167" s="954"/>
      <c r="BV167" s="403"/>
      <c r="BW167" s="486"/>
      <c r="BX167" s="486"/>
      <c r="BY167" s="486"/>
      <c r="BZ167" s="486"/>
      <c r="CA167" s="486"/>
      <c r="CB167" s="486"/>
      <c r="CC167" s="486"/>
      <c r="CD167" s="486"/>
      <c r="CE167" s="486"/>
      <c r="CF167" s="486"/>
      <c r="CG167" s="486"/>
      <c r="CH167" s="486"/>
      <c r="CI167" s="486"/>
      <c r="CJ167" s="486"/>
      <c r="CK167" s="486"/>
      <c r="CL167" s="486"/>
      <c r="CM167" s="486"/>
      <c r="CN167" s="486"/>
      <c r="CO167" s="486"/>
      <c r="CP167" s="486"/>
      <c r="CQ167" s="486"/>
      <c r="CR167" s="486"/>
      <c r="CS167" s="486"/>
      <c r="CT167" s="486"/>
      <c r="CU167" s="486"/>
      <c r="CV167" s="486"/>
      <c r="CW167" s="486"/>
      <c r="CX167" s="486"/>
      <c r="CY167" s="486"/>
      <c r="CZ167" s="486"/>
      <c r="DA167" s="486"/>
      <c r="DB167" s="486"/>
      <c r="DC167" s="486"/>
      <c r="DD167" s="486"/>
      <c r="DE167" s="486"/>
      <c r="DF167" s="486"/>
      <c r="DG167" s="486"/>
      <c r="DH167" s="486"/>
      <c r="DI167" s="486"/>
      <c r="DJ167" s="486"/>
      <c r="DK167" s="486"/>
      <c r="DL167" s="486"/>
      <c r="DM167" s="486"/>
      <c r="DN167" s="486"/>
      <c r="DO167" s="486"/>
      <c r="DP167" s="486"/>
      <c r="DQ167" s="486"/>
      <c r="DR167" s="486"/>
      <c r="DS167" s="486"/>
      <c r="DT167" s="486"/>
      <c r="DU167" s="486"/>
      <c r="DV167" s="486"/>
      <c r="DW167" s="486"/>
      <c r="DX167" s="486"/>
      <c r="DY167" s="486"/>
      <c r="DZ167" s="486"/>
      <c r="EA167" s="486"/>
      <c r="EB167" s="486"/>
      <c r="EC167" s="486"/>
      <c r="ED167" s="486"/>
      <c r="EE167" s="486"/>
      <c r="EF167" s="486"/>
      <c r="EG167" s="486"/>
      <c r="EH167" s="486"/>
      <c r="EI167" s="486"/>
      <c r="EJ167" s="486"/>
      <c r="EK167" s="486"/>
      <c r="EL167" s="486"/>
      <c r="EM167" s="486"/>
      <c r="EN167" s="486"/>
      <c r="EO167" s="486"/>
      <c r="EP167" s="486"/>
      <c r="EQ167" s="486"/>
      <c r="ER167" s="486"/>
      <c r="ES167" s="486"/>
      <c r="ET167" s="486"/>
      <c r="EU167" s="486"/>
      <c r="EV167" s="486"/>
      <c r="EW167" s="486"/>
      <c r="EX167" s="486"/>
      <c r="EY167" s="486"/>
      <c r="EZ167" s="486"/>
      <c r="FA167" s="486"/>
      <c r="FB167" s="486"/>
      <c r="FC167" s="486"/>
      <c r="FD167" s="486"/>
      <c r="FE167" s="486"/>
      <c r="FF167" s="486"/>
      <c r="FG167" s="486"/>
      <c r="FH167" s="486"/>
    </row>
    <row r="168" spans="1:164" ht="15.75">
      <c r="A168" s="407">
        <f>A167+1</f>
        <v>196</v>
      </c>
      <c r="B168" s="404" t="s">
        <v>636</v>
      </c>
      <c r="C168" s="405" t="s">
        <v>1316</v>
      </c>
      <c r="D168" s="405"/>
      <c r="E168" s="1050">
        <f>F168+G168</f>
        <v>0</v>
      </c>
      <c r="F168" s="1064"/>
      <c r="G168" s="1065"/>
      <c r="H168" s="1305"/>
      <c r="I168" s="1306"/>
      <c r="J168" s="1307"/>
      <c r="K168" s="873"/>
      <c r="L168" s="306"/>
      <c r="N168" s="84"/>
      <c r="O168" s="84"/>
      <c r="P168" s="403"/>
      <c r="Q168" s="403"/>
      <c r="R168" s="403"/>
      <c r="S168" s="403"/>
      <c r="T168" s="403"/>
      <c r="U168" s="403"/>
      <c r="V168" s="403"/>
      <c r="W168" s="403"/>
      <c r="Y168" s="84"/>
      <c r="Z168" s="403"/>
      <c r="AA168" s="403"/>
      <c r="AB168" s="403"/>
      <c r="AC168" s="403"/>
      <c r="AD168" s="403"/>
      <c r="AE168" s="403"/>
      <c r="AF168" s="403"/>
      <c r="AG168" s="403"/>
      <c r="AH168" s="403"/>
      <c r="AI168" s="403"/>
      <c r="AJ168" s="486"/>
      <c r="AK168" s="486"/>
      <c r="AL168" s="403"/>
      <c r="AM168" s="403"/>
      <c r="AN168" s="403"/>
      <c r="AO168" s="403"/>
      <c r="AP168" s="403"/>
      <c r="AQ168" s="403"/>
      <c r="AR168" s="403"/>
      <c r="AS168" s="403"/>
      <c r="AT168" s="403"/>
      <c r="AU168" s="403"/>
      <c r="AV168" s="403"/>
      <c r="AW168" s="486"/>
      <c r="AX168" s="486"/>
      <c r="AY168" s="403"/>
      <c r="AZ168" s="403"/>
      <c r="BA168" s="403"/>
      <c r="BB168" s="403"/>
      <c r="BC168" s="403"/>
      <c r="BD168" s="403"/>
      <c r="BE168" s="403"/>
      <c r="BF168" s="954"/>
      <c r="BG168" s="954"/>
      <c r="BH168" s="954"/>
      <c r="BI168" s="403"/>
      <c r="BJ168" s="486"/>
      <c r="BK168" s="486"/>
      <c r="BL168" s="403"/>
      <c r="BM168" s="403"/>
      <c r="BN168" s="403"/>
      <c r="BO168" s="403"/>
      <c r="BP168" s="403"/>
      <c r="BQ168" s="403"/>
      <c r="BR168" s="403"/>
      <c r="BS168" s="954"/>
      <c r="BT168" s="954"/>
      <c r="BU168" s="954"/>
      <c r="BV168" s="403"/>
      <c r="BW168" s="486"/>
      <c r="BX168" s="486"/>
      <c r="BY168" s="486"/>
      <c r="BZ168" s="486"/>
      <c r="CA168" s="486"/>
      <c r="CB168" s="486"/>
      <c r="CC168" s="486"/>
      <c r="CD168" s="486"/>
      <c r="CE168" s="486"/>
      <c r="CF168" s="486"/>
      <c r="CG168" s="486"/>
      <c r="CH168" s="486"/>
      <c r="CI168" s="486"/>
      <c r="CJ168" s="486"/>
      <c r="CK168" s="486"/>
      <c r="CL168" s="486"/>
      <c r="CM168" s="486"/>
      <c r="CN168" s="486"/>
      <c r="CO168" s="486"/>
      <c r="CP168" s="486"/>
      <c r="CQ168" s="486"/>
      <c r="CR168" s="486"/>
      <c r="CS168" s="486"/>
      <c r="CT168" s="486"/>
      <c r="CU168" s="486"/>
      <c r="CV168" s="486"/>
      <c r="CW168" s="486"/>
      <c r="CX168" s="486"/>
      <c r="CY168" s="486"/>
      <c r="CZ168" s="486"/>
      <c r="DA168" s="486"/>
      <c r="DB168" s="486"/>
      <c r="DC168" s="486"/>
      <c r="DD168" s="486"/>
      <c r="DE168" s="486"/>
      <c r="DF168" s="486"/>
      <c r="DG168" s="486"/>
      <c r="DH168" s="486"/>
      <c r="DI168" s="486"/>
      <c r="DJ168" s="486"/>
      <c r="DK168" s="486"/>
      <c r="DL168" s="486"/>
      <c r="DM168" s="486"/>
      <c r="DN168" s="486"/>
      <c r="DO168" s="486"/>
      <c r="DP168" s="486"/>
      <c r="DQ168" s="486"/>
      <c r="DR168" s="486"/>
      <c r="DS168" s="486"/>
      <c r="DT168" s="486"/>
      <c r="DU168" s="486"/>
      <c r="DV168" s="486"/>
      <c r="DW168" s="486"/>
      <c r="DX168" s="486"/>
      <c r="DY168" s="486"/>
      <c r="DZ168" s="486"/>
      <c r="EA168" s="486"/>
      <c r="EB168" s="486"/>
      <c r="EC168" s="486"/>
      <c r="ED168" s="486"/>
      <c r="EE168" s="486"/>
      <c r="EF168" s="486"/>
      <c r="EG168" s="486"/>
      <c r="EH168" s="486"/>
      <c r="EI168" s="486"/>
      <c r="EJ168" s="486"/>
      <c r="EK168" s="486"/>
      <c r="EL168" s="486"/>
      <c r="EM168" s="486"/>
      <c r="EN168" s="486"/>
      <c r="EO168" s="486"/>
      <c r="EP168" s="486"/>
      <c r="EQ168" s="486"/>
      <c r="ER168" s="486"/>
      <c r="ES168" s="486"/>
      <c r="ET168" s="486"/>
      <c r="EU168" s="486"/>
      <c r="EV168" s="486"/>
      <c r="EW168" s="486"/>
      <c r="EX168" s="486"/>
      <c r="EY168" s="486"/>
      <c r="EZ168" s="486"/>
      <c r="FA168" s="486"/>
      <c r="FB168" s="486"/>
      <c r="FC168" s="486"/>
      <c r="FD168" s="486"/>
      <c r="FE168" s="486"/>
      <c r="FF168" s="486"/>
      <c r="FG168" s="486"/>
      <c r="FH168" s="486"/>
    </row>
    <row r="169" spans="1:164" ht="15.75">
      <c r="A169" s="407">
        <f>A168+1</f>
        <v>197</v>
      </c>
      <c r="B169" s="404" t="s">
        <v>636</v>
      </c>
      <c r="C169" s="405" t="s">
        <v>1317</v>
      </c>
      <c r="D169" s="405"/>
      <c r="E169" s="1050">
        <f>F169+G169</f>
        <v>0</v>
      </c>
      <c r="F169" s="1064"/>
      <c r="G169" s="1065"/>
      <c r="H169" s="1305"/>
      <c r="I169" s="1306"/>
      <c r="J169" s="1307"/>
      <c r="K169" s="873"/>
      <c r="L169" s="306"/>
      <c r="N169" s="84"/>
      <c r="O169" s="84"/>
      <c r="P169" s="403"/>
      <c r="Q169" s="403"/>
      <c r="R169" s="403"/>
      <c r="S169" s="403"/>
      <c r="T169" s="403"/>
      <c r="U169" s="403"/>
      <c r="V169" s="403"/>
      <c r="W169" s="403"/>
      <c r="Y169" s="84"/>
      <c r="Z169" s="403"/>
      <c r="AA169" s="403"/>
      <c r="AB169" s="403"/>
      <c r="AC169" s="403"/>
      <c r="AD169" s="403"/>
      <c r="AE169" s="403"/>
      <c r="AF169" s="403"/>
      <c r="AG169" s="403"/>
      <c r="AH169" s="403"/>
      <c r="AI169" s="403"/>
      <c r="AJ169" s="486"/>
      <c r="AK169" s="486"/>
      <c r="AL169" s="403"/>
      <c r="AM169" s="403"/>
      <c r="AN169" s="403"/>
      <c r="AO169" s="403"/>
      <c r="AP169" s="403"/>
      <c r="AQ169" s="403"/>
      <c r="AR169" s="403"/>
      <c r="AS169" s="403"/>
      <c r="AT169" s="403"/>
      <c r="AU169" s="403"/>
      <c r="AV169" s="403"/>
      <c r="AW169" s="486"/>
      <c r="AX169" s="486"/>
      <c r="AY169" s="403"/>
      <c r="AZ169" s="403"/>
      <c r="BA169" s="403"/>
      <c r="BB169" s="403"/>
      <c r="BC169" s="403"/>
      <c r="BD169" s="403"/>
      <c r="BE169" s="403"/>
      <c r="BF169" s="954"/>
      <c r="BG169" s="954"/>
      <c r="BH169" s="954"/>
      <c r="BI169" s="403"/>
      <c r="BJ169" s="486"/>
      <c r="BK169" s="486"/>
      <c r="BL169" s="403"/>
      <c r="BM169" s="403"/>
      <c r="BN169" s="403"/>
      <c r="BO169" s="403"/>
      <c r="BP169" s="403"/>
      <c r="BQ169" s="403"/>
      <c r="BR169" s="403"/>
      <c r="BS169" s="954"/>
      <c r="BT169" s="954"/>
      <c r="BU169" s="954"/>
      <c r="BV169" s="403"/>
      <c r="BW169" s="486"/>
      <c r="BX169" s="486"/>
      <c r="BY169" s="486"/>
      <c r="BZ169" s="486"/>
      <c r="CA169" s="486"/>
      <c r="CB169" s="486"/>
      <c r="CC169" s="486"/>
      <c r="CD169" s="486"/>
      <c r="CE169" s="486"/>
      <c r="CF169" s="486"/>
      <c r="CG169" s="486"/>
      <c r="CH169" s="486"/>
      <c r="CI169" s="486"/>
      <c r="CJ169" s="486"/>
      <c r="CK169" s="486"/>
      <c r="CL169" s="486"/>
      <c r="CM169" s="486"/>
      <c r="CN169" s="486"/>
      <c r="CO169" s="486"/>
      <c r="CP169" s="486"/>
      <c r="CQ169" s="486"/>
      <c r="CR169" s="486"/>
      <c r="CS169" s="486"/>
      <c r="CT169" s="486"/>
      <c r="CU169" s="486"/>
      <c r="CV169" s="486"/>
      <c r="CW169" s="486"/>
      <c r="CX169" s="486"/>
      <c r="CY169" s="486"/>
      <c r="CZ169" s="486"/>
      <c r="DA169" s="486"/>
      <c r="DB169" s="486"/>
      <c r="DC169" s="486"/>
      <c r="DD169" s="486"/>
      <c r="DE169" s="486"/>
      <c r="DF169" s="486"/>
      <c r="DG169" s="486"/>
      <c r="DH169" s="486"/>
      <c r="DI169" s="486"/>
      <c r="DJ169" s="486"/>
      <c r="DK169" s="486"/>
      <c r="DL169" s="486"/>
      <c r="DM169" s="486"/>
      <c r="DN169" s="486"/>
      <c r="DO169" s="486"/>
      <c r="DP169" s="486"/>
      <c r="DQ169" s="486"/>
      <c r="DR169" s="486"/>
      <c r="DS169" s="486"/>
      <c r="DT169" s="486"/>
      <c r="DU169" s="486"/>
      <c r="DV169" s="486"/>
      <c r="DW169" s="486"/>
      <c r="DX169" s="486"/>
      <c r="DY169" s="486"/>
      <c r="DZ169" s="486"/>
      <c r="EA169" s="486"/>
      <c r="EB169" s="486"/>
      <c r="EC169" s="486"/>
      <c r="ED169" s="486"/>
      <c r="EE169" s="486"/>
      <c r="EF169" s="486"/>
      <c r="EG169" s="486"/>
      <c r="EH169" s="486"/>
      <c r="EI169" s="486"/>
      <c r="EJ169" s="486"/>
      <c r="EK169" s="486"/>
      <c r="EL169" s="486"/>
      <c r="EM169" s="486"/>
      <c r="EN169" s="486"/>
      <c r="EO169" s="486"/>
      <c r="EP169" s="486"/>
      <c r="EQ169" s="486"/>
      <c r="ER169" s="486"/>
      <c r="ES169" s="486"/>
      <c r="ET169" s="486"/>
      <c r="EU169" s="486"/>
      <c r="EV169" s="486"/>
      <c r="EW169" s="486"/>
      <c r="EX169" s="486"/>
      <c r="EY169" s="486"/>
      <c r="EZ169" s="486"/>
      <c r="FA169" s="486"/>
      <c r="FB169" s="486"/>
      <c r="FC169" s="486"/>
      <c r="FD169" s="486"/>
      <c r="FE169" s="486"/>
      <c r="FF169" s="486"/>
      <c r="FG169" s="486"/>
      <c r="FH169" s="486"/>
    </row>
    <row r="170" spans="1:164" ht="15.75">
      <c r="A170" s="407"/>
      <c r="B170" s="404"/>
      <c r="C170" s="775"/>
      <c r="D170" s="775"/>
      <c r="E170" s="775"/>
      <c r="F170" s="1054"/>
      <c r="G170" s="1054"/>
      <c r="H170" s="1054"/>
      <c r="I170" s="1054"/>
      <c r="J170" s="775"/>
      <c r="K170" s="250"/>
      <c r="L170" s="306"/>
      <c r="N170" s="84"/>
      <c r="O170" s="84"/>
      <c r="P170" s="403"/>
      <c r="Q170" s="403"/>
      <c r="R170" s="403"/>
      <c r="S170" s="403"/>
      <c r="T170" s="403"/>
      <c r="U170" s="403"/>
      <c r="V170" s="403"/>
      <c r="W170" s="403"/>
      <c r="Y170" s="84"/>
      <c r="Z170" s="403"/>
      <c r="AA170" s="403"/>
      <c r="AB170" s="403"/>
      <c r="AC170" s="403"/>
      <c r="AD170" s="403"/>
      <c r="AE170" s="403"/>
      <c r="AF170" s="403"/>
      <c r="AG170" s="403"/>
      <c r="AH170" s="403"/>
      <c r="AI170" s="403"/>
      <c r="AJ170" s="486"/>
      <c r="AK170" s="486"/>
      <c r="AL170" s="403"/>
      <c r="AM170" s="403"/>
      <c r="AN170" s="403"/>
      <c r="AO170" s="403"/>
      <c r="AP170" s="403"/>
      <c r="AQ170" s="403"/>
      <c r="AR170" s="403"/>
      <c r="AS170" s="403"/>
      <c r="AT170" s="403"/>
      <c r="AU170" s="403"/>
      <c r="AV170" s="403"/>
      <c r="AW170" s="486"/>
      <c r="AX170" s="486"/>
      <c r="AY170" s="403"/>
      <c r="AZ170" s="403"/>
      <c r="BA170" s="403"/>
      <c r="BB170" s="403"/>
      <c r="BC170" s="403"/>
      <c r="BD170" s="403"/>
      <c r="BE170" s="403"/>
      <c r="BF170" s="954"/>
      <c r="BG170" s="954"/>
      <c r="BH170" s="954"/>
      <c r="BI170" s="403"/>
      <c r="BJ170" s="486"/>
      <c r="BK170" s="486"/>
      <c r="BL170" s="403"/>
      <c r="BM170" s="403"/>
      <c r="BN170" s="403"/>
      <c r="BO170" s="403"/>
      <c r="BP170" s="403"/>
      <c r="BQ170" s="403"/>
      <c r="BR170" s="403"/>
      <c r="BS170" s="954"/>
      <c r="BT170" s="954"/>
      <c r="BU170" s="954"/>
      <c r="BV170" s="403"/>
      <c r="BW170" s="486"/>
      <c r="BX170" s="486"/>
      <c r="BY170" s="486"/>
      <c r="BZ170" s="486"/>
      <c r="CA170" s="486"/>
      <c r="CB170" s="486"/>
      <c r="CC170" s="486"/>
      <c r="CD170" s="486"/>
      <c r="CE170" s="486"/>
      <c r="CF170" s="486"/>
      <c r="CG170" s="486"/>
      <c r="CH170" s="486"/>
      <c r="CI170" s="486"/>
      <c r="CJ170" s="486"/>
      <c r="CK170" s="486"/>
      <c r="CL170" s="486"/>
      <c r="CM170" s="486"/>
      <c r="CN170" s="486"/>
      <c r="CO170" s="486"/>
      <c r="CP170" s="486"/>
      <c r="CQ170" s="486"/>
      <c r="CR170" s="486"/>
      <c r="CS170" s="486"/>
      <c r="CT170" s="486"/>
      <c r="CU170" s="486"/>
      <c r="CV170" s="486"/>
      <c r="CW170" s="486"/>
      <c r="CX170" s="486"/>
      <c r="CY170" s="486"/>
      <c r="CZ170" s="486"/>
      <c r="DA170" s="486"/>
      <c r="DB170" s="486"/>
      <c r="DC170" s="486"/>
      <c r="DD170" s="486"/>
      <c r="DE170" s="486"/>
      <c r="DF170" s="486"/>
      <c r="DG170" s="486"/>
      <c r="DH170" s="486"/>
      <c r="DI170" s="486"/>
      <c r="DJ170" s="486"/>
      <c r="DK170" s="486"/>
      <c r="DL170" s="486"/>
      <c r="DM170" s="486"/>
      <c r="DN170" s="486"/>
      <c r="DO170" s="486"/>
      <c r="DP170" s="486"/>
      <c r="DQ170" s="486"/>
      <c r="DR170" s="486"/>
      <c r="DS170" s="486"/>
      <c r="DT170" s="486"/>
      <c r="DU170" s="486"/>
      <c r="DV170" s="486"/>
      <c r="DW170" s="486"/>
      <c r="DX170" s="486"/>
      <c r="DY170" s="486"/>
      <c r="DZ170" s="486"/>
      <c r="EA170" s="486"/>
      <c r="EB170" s="486"/>
      <c r="EC170" s="486"/>
      <c r="ED170" s="486"/>
      <c r="EE170" s="486"/>
      <c r="EF170" s="486"/>
      <c r="EG170" s="486"/>
      <c r="EH170" s="486"/>
      <c r="EI170" s="486"/>
      <c r="EJ170" s="486"/>
      <c r="EK170" s="486"/>
      <c r="EL170" s="486"/>
      <c r="EM170" s="486"/>
      <c r="EN170" s="486"/>
      <c r="EO170" s="486"/>
      <c r="EP170" s="486"/>
      <c r="EQ170" s="486"/>
      <c r="ER170" s="486"/>
      <c r="ES170" s="486"/>
      <c r="ET170" s="486"/>
      <c r="EU170" s="486"/>
      <c r="EV170" s="486"/>
      <c r="EW170" s="486"/>
      <c r="EX170" s="486"/>
      <c r="EY170" s="486"/>
      <c r="EZ170" s="486"/>
      <c r="FA170" s="486"/>
      <c r="FB170" s="486"/>
      <c r="FC170" s="486"/>
      <c r="FD170" s="486"/>
      <c r="FE170" s="486"/>
      <c r="FF170" s="486"/>
      <c r="FG170" s="486"/>
      <c r="FH170" s="486"/>
    </row>
    <row r="171" spans="1:164" ht="15.75">
      <c r="A171" s="407">
        <f>A169+1</f>
        <v>198</v>
      </c>
      <c r="B171" s="404" t="s">
        <v>636</v>
      </c>
      <c r="C171" s="214" t="s">
        <v>1318</v>
      </c>
      <c r="D171" s="214"/>
      <c r="E171" s="1050">
        <f>E164+E167+E168+E169</f>
        <v>0</v>
      </c>
      <c r="F171" s="1050">
        <f>F164+F167+F168+F169</f>
        <v>0</v>
      </c>
      <c r="G171" s="1050">
        <f>G164+G167+G168+G169</f>
        <v>0</v>
      </c>
      <c r="H171" s="1054"/>
      <c r="I171" s="1066" t="s">
        <v>429</v>
      </c>
      <c r="J171" s="1067" t="e">
        <f>E171/'1. Description'!E137</f>
        <v>#DIV/0!</v>
      </c>
      <c r="K171" s="873"/>
      <c r="L171" s="306"/>
      <c r="N171" s="84"/>
      <c r="O171" s="84"/>
      <c r="P171" s="403"/>
      <c r="Q171" s="403"/>
      <c r="R171" s="403"/>
      <c r="S171" s="403"/>
      <c r="T171" s="403"/>
      <c r="U171" s="403"/>
      <c r="V171" s="403"/>
      <c r="W171" s="403"/>
      <c r="Y171" s="84"/>
      <c r="Z171" s="403"/>
      <c r="AA171" s="403"/>
      <c r="AB171" s="403"/>
      <c r="AC171" s="403"/>
      <c r="AD171" s="403"/>
      <c r="AE171" s="403"/>
      <c r="AF171" s="403"/>
      <c r="AG171" s="403"/>
      <c r="AH171" s="403"/>
      <c r="AI171" s="403"/>
      <c r="AJ171" s="486"/>
      <c r="AK171" s="486"/>
      <c r="AL171" s="403"/>
      <c r="AM171" s="403"/>
      <c r="AN171" s="403"/>
      <c r="AO171" s="403"/>
      <c r="AP171" s="403"/>
      <c r="AQ171" s="403"/>
      <c r="AR171" s="403"/>
      <c r="AS171" s="403"/>
      <c r="AT171" s="403"/>
      <c r="AU171" s="403"/>
      <c r="AV171" s="403"/>
      <c r="AW171" s="486"/>
      <c r="AX171" s="486"/>
      <c r="AY171" s="403"/>
      <c r="AZ171" s="403"/>
      <c r="BA171" s="403"/>
      <c r="BB171" s="403"/>
      <c r="BC171" s="403"/>
      <c r="BD171" s="403"/>
      <c r="BE171" s="403"/>
      <c r="BF171" s="954"/>
      <c r="BG171" s="954"/>
      <c r="BH171" s="954"/>
      <c r="BI171" s="403"/>
      <c r="BJ171" s="486"/>
      <c r="BK171" s="486"/>
      <c r="BL171" s="403"/>
      <c r="BM171" s="403"/>
      <c r="BN171" s="403"/>
      <c r="BO171" s="403"/>
      <c r="BP171" s="403"/>
      <c r="BQ171" s="403"/>
      <c r="BR171" s="403"/>
      <c r="BS171" s="954"/>
      <c r="BT171" s="954"/>
      <c r="BU171" s="954"/>
      <c r="BV171" s="403"/>
      <c r="BW171" s="486"/>
      <c r="BX171" s="486"/>
      <c r="BY171" s="486"/>
      <c r="BZ171" s="486"/>
      <c r="CA171" s="486"/>
      <c r="CB171" s="486"/>
      <c r="CC171" s="486"/>
      <c r="CD171" s="486"/>
      <c r="CE171" s="486"/>
      <c r="CF171" s="486"/>
      <c r="CG171" s="486"/>
      <c r="CH171" s="486"/>
      <c r="CI171" s="486"/>
      <c r="CJ171" s="486"/>
      <c r="CK171" s="486"/>
      <c r="CL171" s="486"/>
      <c r="CM171" s="486"/>
      <c r="CN171" s="486"/>
      <c r="CO171" s="486"/>
      <c r="CP171" s="486"/>
      <c r="CQ171" s="486"/>
      <c r="CR171" s="486"/>
      <c r="CS171" s="486"/>
      <c r="CT171" s="486"/>
      <c r="CU171" s="486"/>
      <c r="CV171" s="486"/>
      <c r="CW171" s="486"/>
      <c r="CX171" s="486"/>
      <c r="CY171" s="486"/>
      <c r="CZ171" s="486"/>
      <c r="DA171" s="486"/>
      <c r="DB171" s="486"/>
      <c r="DC171" s="486"/>
      <c r="DD171" s="486"/>
      <c r="DE171" s="486"/>
      <c r="DF171" s="486"/>
      <c r="DG171" s="486"/>
      <c r="DH171" s="486"/>
      <c r="DI171" s="486"/>
      <c r="DJ171" s="486"/>
      <c r="DK171" s="486"/>
      <c r="DL171" s="486"/>
      <c r="DM171" s="486"/>
      <c r="DN171" s="486"/>
      <c r="DO171" s="486"/>
      <c r="DP171" s="486"/>
      <c r="DQ171" s="486"/>
      <c r="DR171" s="486"/>
      <c r="DS171" s="486"/>
      <c r="DT171" s="486"/>
      <c r="DU171" s="486"/>
      <c r="DV171" s="486"/>
      <c r="DW171" s="486"/>
      <c r="DX171" s="486"/>
      <c r="DY171" s="486"/>
      <c r="DZ171" s="486"/>
      <c r="EA171" s="486"/>
      <c r="EB171" s="486"/>
      <c r="EC171" s="486"/>
      <c r="ED171" s="486"/>
      <c r="EE171" s="486"/>
      <c r="EF171" s="486"/>
      <c r="EG171" s="486"/>
      <c r="EH171" s="486"/>
      <c r="EI171" s="486"/>
      <c r="EJ171" s="486"/>
      <c r="EK171" s="486"/>
      <c r="EL171" s="486"/>
      <c r="EM171" s="486"/>
      <c r="EN171" s="486"/>
      <c r="EO171" s="486"/>
      <c r="EP171" s="486"/>
      <c r="EQ171" s="486"/>
      <c r="ER171" s="486"/>
      <c r="ES171" s="486"/>
      <c r="ET171" s="486"/>
      <c r="EU171" s="486"/>
      <c r="EV171" s="486"/>
      <c r="EW171" s="486"/>
      <c r="EX171" s="486"/>
      <c r="EY171" s="486"/>
      <c r="EZ171" s="486"/>
      <c r="FA171" s="486"/>
      <c r="FB171" s="486"/>
      <c r="FC171" s="486"/>
      <c r="FD171" s="486"/>
      <c r="FE171" s="486"/>
      <c r="FF171" s="486"/>
      <c r="FG171" s="486"/>
      <c r="FH171" s="486"/>
    </row>
    <row r="172" spans="1:164" ht="14.25">
      <c r="A172" s="407"/>
      <c r="B172" s="404"/>
      <c r="C172" s="1056"/>
      <c r="D172" s="1056"/>
      <c r="E172" s="775"/>
      <c r="F172" s="1054"/>
      <c r="G172" s="1054"/>
      <c r="H172" s="775"/>
      <c r="I172" s="1054"/>
      <c r="J172" s="775"/>
      <c r="K172" s="250"/>
      <c r="L172" s="335"/>
      <c r="N172" s="84"/>
      <c r="O172" s="84"/>
      <c r="P172" s="403"/>
      <c r="Q172" s="403"/>
      <c r="R172" s="403"/>
      <c r="S172" s="403"/>
      <c r="T172" s="403"/>
      <c r="U172" s="403"/>
      <c r="V172" s="403"/>
      <c r="W172" s="403"/>
      <c r="Y172" s="84"/>
      <c r="Z172" s="403"/>
      <c r="AA172" s="403"/>
      <c r="AB172" s="403"/>
      <c r="AC172" s="403"/>
      <c r="AD172" s="403"/>
      <c r="AE172" s="403"/>
      <c r="AF172" s="403"/>
      <c r="AG172" s="403"/>
      <c r="AH172" s="403"/>
      <c r="AI172" s="403"/>
      <c r="AJ172" s="486"/>
      <c r="AK172" s="486"/>
      <c r="AL172" s="403"/>
      <c r="AM172" s="403"/>
      <c r="AN172" s="403"/>
      <c r="AO172" s="403"/>
      <c r="AP172" s="403"/>
      <c r="AQ172" s="403"/>
      <c r="AR172" s="403"/>
      <c r="AS172" s="403"/>
      <c r="AT172" s="403"/>
      <c r="AU172" s="403"/>
      <c r="AV172" s="403"/>
      <c r="AW172" s="486"/>
      <c r="AX172" s="486"/>
      <c r="AY172" s="403"/>
      <c r="AZ172" s="403"/>
      <c r="BA172" s="403"/>
      <c r="BB172" s="403"/>
      <c r="BC172" s="403"/>
      <c r="BD172" s="403"/>
      <c r="BE172" s="403"/>
      <c r="BF172" s="954"/>
      <c r="BG172" s="954"/>
      <c r="BH172" s="954"/>
      <c r="BI172" s="403"/>
      <c r="BJ172" s="486"/>
      <c r="BK172" s="486"/>
      <c r="BL172" s="403"/>
      <c r="BM172" s="403"/>
      <c r="BN172" s="403"/>
      <c r="BO172" s="403"/>
      <c r="BP172" s="403"/>
      <c r="BQ172" s="403"/>
      <c r="BR172" s="403"/>
      <c r="BS172" s="954"/>
      <c r="BT172" s="954"/>
      <c r="BU172" s="954"/>
      <c r="BV172" s="403"/>
      <c r="BW172" s="486"/>
      <c r="BX172" s="486"/>
      <c r="BY172" s="486"/>
      <c r="BZ172" s="486"/>
      <c r="CA172" s="486"/>
      <c r="CB172" s="486"/>
      <c r="CC172" s="486"/>
      <c r="CD172" s="486"/>
      <c r="CE172" s="486"/>
      <c r="CF172" s="486"/>
      <c r="CG172" s="486"/>
      <c r="CH172" s="486"/>
      <c r="CI172" s="486"/>
      <c r="CJ172" s="486"/>
      <c r="CK172" s="486"/>
      <c r="CL172" s="486"/>
      <c r="CM172" s="486"/>
      <c r="CN172" s="486"/>
      <c r="CO172" s="486"/>
      <c r="CP172" s="486"/>
      <c r="CQ172" s="486"/>
      <c r="CR172" s="486"/>
      <c r="CS172" s="486"/>
      <c r="CT172" s="486"/>
      <c r="CU172" s="486"/>
      <c r="CV172" s="486"/>
      <c r="CW172" s="486"/>
      <c r="CX172" s="486"/>
      <c r="CY172" s="486"/>
      <c r="CZ172" s="486"/>
      <c r="DA172" s="486"/>
      <c r="DB172" s="486"/>
      <c r="DC172" s="486"/>
      <c r="DD172" s="486"/>
      <c r="DE172" s="486"/>
      <c r="DF172" s="486"/>
      <c r="DG172" s="486"/>
      <c r="DH172" s="486"/>
      <c r="DI172" s="486"/>
      <c r="DJ172" s="486"/>
      <c r="DK172" s="486"/>
      <c r="DL172" s="486"/>
      <c r="DM172" s="486"/>
      <c r="DN172" s="486"/>
      <c r="DO172" s="486"/>
      <c r="DP172" s="486"/>
      <c r="DQ172" s="486"/>
      <c r="DR172" s="486"/>
      <c r="DS172" s="486"/>
      <c r="DT172" s="486"/>
      <c r="DU172" s="486"/>
      <c r="DV172" s="486"/>
      <c r="DW172" s="486"/>
      <c r="DX172" s="486"/>
      <c r="DY172" s="486"/>
      <c r="DZ172" s="486"/>
      <c r="EA172" s="486"/>
      <c r="EB172" s="486"/>
      <c r="EC172" s="486"/>
      <c r="ED172" s="486"/>
      <c r="EE172" s="486"/>
      <c r="EF172" s="486"/>
      <c r="EG172" s="486"/>
      <c r="EH172" s="486"/>
      <c r="EI172" s="486"/>
      <c r="EJ172" s="486"/>
      <c r="EK172" s="486"/>
      <c r="EL172" s="486"/>
      <c r="EM172" s="486"/>
      <c r="EN172" s="486"/>
      <c r="EO172" s="486"/>
      <c r="EP172" s="486"/>
      <c r="EQ172" s="486"/>
      <c r="ER172" s="486"/>
      <c r="ES172" s="486"/>
      <c r="ET172" s="486"/>
      <c r="EU172" s="486"/>
      <c r="EV172" s="486"/>
      <c r="EW172" s="486"/>
      <c r="EX172" s="486"/>
      <c r="EY172" s="486"/>
      <c r="EZ172" s="486"/>
      <c r="FA172" s="486"/>
      <c r="FB172" s="486"/>
      <c r="FC172" s="486"/>
      <c r="FD172" s="486"/>
      <c r="FE172" s="486"/>
      <c r="FF172" s="486"/>
      <c r="FG172" s="486"/>
      <c r="FH172" s="486"/>
    </row>
    <row r="173" spans="1:164" ht="15.75">
      <c r="A173" s="407">
        <f>A171+1</f>
        <v>199</v>
      </c>
      <c r="B173" s="404" t="s">
        <v>636</v>
      </c>
      <c r="C173" s="214" t="s">
        <v>232</v>
      </c>
      <c r="D173" s="405"/>
      <c r="E173" s="1050">
        <f>E171-G10-E167</f>
        <v>0</v>
      </c>
      <c r="F173" s="1068">
        <f>IF(E171&lt;&gt;0,E173*(F171/E171),0)</f>
        <v>0</v>
      </c>
      <c r="G173" s="1050">
        <f>IF(E171&lt;&gt;0,E173*(G171/E171),0)</f>
        <v>0</v>
      </c>
      <c r="H173" s="1054"/>
      <c r="I173" s="1066" t="s">
        <v>1191</v>
      </c>
      <c r="J173" s="1067" t="e">
        <f>E173/'1. Description'!E137</f>
        <v>#DIV/0!</v>
      </c>
      <c r="K173" s="873"/>
      <c r="L173" s="306"/>
      <c r="N173" s="84"/>
      <c r="O173" s="84"/>
      <c r="P173" s="403"/>
      <c r="Q173" s="403"/>
      <c r="R173" s="403"/>
      <c r="S173" s="403"/>
      <c r="T173" s="403"/>
      <c r="U173" s="403"/>
      <c r="V173" s="403"/>
      <c r="W173" s="403"/>
      <c r="Y173" s="84"/>
      <c r="Z173" s="403"/>
      <c r="AA173" s="403"/>
      <c r="AB173" s="403"/>
      <c r="AC173" s="403"/>
      <c r="AD173" s="403"/>
      <c r="AE173" s="403"/>
      <c r="AF173" s="403"/>
      <c r="AG173" s="403"/>
      <c r="AH173" s="403"/>
      <c r="AI173" s="403"/>
      <c r="AJ173" s="486"/>
      <c r="AK173" s="486"/>
      <c r="AL173" s="403"/>
      <c r="AM173" s="403"/>
      <c r="AN173" s="403"/>
      <c r="AO173" s="403"/>
      <c r="AP173" s="403"/>
      <c r="AQ173" s="403"/>
      <c r="AR173" s="403"/>
      <c r="AS173" s="403"/>
      <c r="AT173" s="403"/>
      <c r="AU173" s="403"/>
      <c r="AV173" s="403"/>
      <c r="AW173" s="486"/>
      <c r="AX173" s="486"/>
      <c r="AY173" s="403"/>
      <c r="AZ173" s="403"/>
      <c r="BA173" s="403"/>
      <c r="BB173" s="403"/>
      <c r="BC173" s="403"/>
      <c r="BD173" s="403"/>
      <c r="BE173" s="403"/>
      <c r="BF173" s="954"/>
      <c r="BG173" s="954"/>
      <c r="BH173" s="954"/>
      <c r="BI173" s="403"/>
      <c r="BJ173" s="486"/>
      <c r="BK173" s="486"/>
      <c r="BL173" s="403"/>
      <c r="BM173" s="403"/>
      <c r="BN173" s="403"/>
      <c r="BO173" s="403"/>
      <c r="BP173" s="403"/>
      <c r="BQ173" s="403"/>
      <c r="BR173" s="403"/>
      <c r="BS173" s="954"/>
      <c r="BT173" s="954"/>
      <c r="BU173" s="954"/>
      <c r="BV173" s="403"/>
      <c r="BW173" s="486"/>
      <c r="BX173" s="486"/>
      <c r="BY173" s="486"/>
      <c r="BZ173" s="486"/>
      <c r="CA173" s="486"/>
      <c r="CB173" s="486"/>
      <c r="CC173" s="486"/>
      <c r="CD173" s="486"/>
      <c r="CE173" s="486"/>
      <c r="CF173" s="486"/>
      <c r="CG173" s="486"/>
      <c r="CH173" s="486"/>
      <c r="CI173" s="486"/>
      <c r="CJ173" s="486"/>
      <c r="CK173" s="486"/>
      <c r="CL173" s="486"/>
      <c r="CM173" s="486"/>
      <c r="CN173" s="486"/>
      <c r="CO173" s="486"/>
      <c r="CP173" s="486"/>
      <c r="CQ173" s="486"/>
      <c r="CR173" s="486"/>
      <c r="CS173" s="486"/>
      <c r="CT173" s="486"/>
      <c r="CU173" s="486"/>
      <c r="CV173" s="486"/>
      <c r="CW173" s="486"/>
      <c r="CX173" s="486"/>
      <c r="CY173" s="486"/>
      <c r="CZ173" s="486"/>
      <c r="DA173" s="486"/>
      <c r="DB173" s="486"/>
      <c r="DC173" s="486"/>
      <c r="DD173" s="486"/>
      <c r="DE173" s="486"/>
      <c r="DF173" s="486"/>
      <c r="DG173" s="486"/>
      <c r="DH173" s="486"/>
      <c r="DI173" s="486"/>
      <c r="DJ173" s="486"/>
      <c r="DK173" s="486"/>
      <c r="DL173" s="486"/>
      <c r="DM173" s="486"/>
      <c r="DN173" s="486"/>
      <c r="DO173" s="486"/>
      <c r="DP173" s="486"/>
      <c r="DQ173" s="486"/>
      <c r="DR173" s="486"/>
      <c r="DS173" s="486"/>
      <c r="DT173" s="486"/>
      <c r="DU173" s="486"/>
      <c r="DV173" s="486"/>
      <c r="DW173" s="486"/>
      <c r="DX173" s="486"/>
      <c r="DY173" s="486"/>
      <c r="DZ173" s="486"/>
      <c r="EA173" s="486"/>
      <c r="EB173" s="486"/>
      <c r="EC173" s="486"/>
      <c r="ED173" s="486"/>
      <c r="EE173" s="486"/>
      <c r="EF173" s="486"/>
      <c r="EG173" s="486"/>
      <c r="EH173" s="486"/>
      <c r="EI173" s="486"/>
      <c r="EJ173" s="486"/>
      <c r="EK173" s="486"/>
      <c r="EL173" s="486"/>
      <c r="EM173" s="486"/>
      <c r="EN173" s="486"/>
      <c r="EO173" s="486"/>
      <c r="EP173" s="486"/>
      <c r="EQ173" s="486"/>
      <c r="ER173" s="486"/>
      <c r="ES173" s="486"/>
      <c r="ET173" s="486"/>
      <c r="EU173" s="486"/>
      <c r="EV173" s="486"/>
      <c r="EW173" s="486"/>
      <c r="EX173" s="486"/>
      <c r="EY173" s="486"/>
      <c r="EZ173" s="486"/>
      <c r="FA173" s="486"/>
      <c r="FB173" s="486"/>
      <c r="FC173" s="486"/>
      <c r="FD173" s="486"/>
      <c r="FE173" s="486"/>
      <c r="FF173" s="486"/>
      <c r="FG173" s="486"/>
      <c r="FH173" s="486"/>
    </row>
    <row r="174" spans="1:164" s="65" customFormat="1" ht="14.25">
      <c r="A174" s="407"/>
      <c r="B174" s="404"/>
      <c r="C174" s="136"/>
      <c r="D174" s="256"/>
      <c r="E174" s="256"/>
      <c r="F174" s="381"/>
      <c r="G174" s="381"/>
      <c r="H174" s="381"/>
      <c r="I174" s="381"/>
      <c r="J174" s="381"/>
      <c r="K174" s="381"/>
      <c r="L174" s="382"/>
      <c r="M174" s="103"/>
      <c r="N174" s="84"/>
      <c r="O174" s="84"/>
      <c r="P174" s="403"/>
      <c r="Q174" s="403"/>
      <c r="R174" s="403"/>
      <c r="S174" s="403"/>
      <c r="T174" s="403"/>
      <c r="U174" s="403"/>
      <c r="V174" s="403"/>
      <c r="W174" s="403"/>
      <c r="Y174" s="84"/>
      <c r="Z174" s="403"/>
      <c r="AA174" s="403"/>
      <c r="AB174" s="403"/>
      <c r="AC174" s="403"/>
      <c r="AD174" s="403"/>
      <c r="AE174" s="403"/>
      <c r="AF174" s="403"/>
      <c r="AG174" s="403"/>
      <c r="AH174" s="403"/>
      <c r="AI174" s="403"/>
      <c r="AJ174" s="815"/>
      <c r="AK174" s="815"/>
      <c r="AL174" s="403"/>
      <c r="AM174" s="403"/>
      <c r="AN174" s="403"/>
      <c r="AO174" s="403"/>
      <c r="AP174" s="403"/>
      <c r="AQ174" s="403"/>
      <c r="AR174" s="403"/>
      <c r="AS174" s="403"/>
      <c r="AT174" s="403"/>
      <c r="AU174" s="403"/>
      <c r="AV174" s="403"/>
      <c r="AW174" s="815"/>
      <c r="AX174" s="815"/>
      <c r="AY174" s="403"/>
      <c r="AZ174" s="403"/>
      <c r="BA174" s="403"/>
      <c r="BB174" s="403"/>
      <c r="BC174" s="403"/>
      <c r="BD174" s="403"/>
      <c r="BE174" s="403"/>
      <c r="BF174" s="954"/>
      <c r="BG174" s="954"/>
      <c r="BH174" s="954"/>
      <c r="BI174" s="403"/>
      <c r="BJ174" s="815"/>
      <c r="BK174" s="815"/>
      <c r="BL174" s="403"/>
      <c r="BM174" s="403"/>
      <c r="BN174" s="403"/>
      <c r="BO174" s="403"/>
      <c r="BP174" s="403"/>
      <c r="BQ174" s="403"/>
      <c r="BR174" s="403"/>
      <c r="BS174" s="954"/>
      <c r="BT174" s="954"/>
      <c r="BU174" s="954"/>
      <c r="BV174" s="403"/>
      <c r="BW174" s="815"/>
      <c r="BX174" s="815"/>
      <c r="BY174" s="815"/>
      <c r="BZ174" s="815"/>
      <c r="CA174" s="815"/>
      <c r="CB174" s="815"/>
      <c r="CC174" s="815"/>
      <c r="CD174" s="815"/>
      <c r="CE174" s="815"/>
      <c r="CF174" s="815"/>
      <c r="CG174" s="815"/>
      <c r="CH174" s="815"/>
      <c r="CI174" s="815"/>
      <c r="CJ174" s="815"/>
      <c r="CK174" s="815"/>
      <c r="CL174" s="815"/>
      <c r="CM174" s="815"/>
      <c r="CN174" s="815"/>
      <c r="CO174" s="815"/>
      <c r="CP174" s="815"/>
      <c r="CQ174" s="815"/>
      <c r="CR174" s="815"/>
      <c r="CS174" s="815"/>
      <c r="CT174" s="815"/>
      <c r="CU174" s="815"/>
      <c r="CV174" s="815"/>
      <c r="CW174" s="815"/>
      <c r="CX174" s="815"/>
      <c r="CY174" s="815"/>
      <c r="CZ174" s="815"/>
      <c r="DA174" s="815"/>
      <c r="DB174" s="815"/>
      <c r="DC174" s="815"/>
      <c r="DD174" s="815"/>
      <c r="DE174" s="815"/>
      <c r="DF174" s="815"/>
      <c r="DG174" s="815"/>
      <c r="DH174" s="815"/>
      <c r="DI174" s="815"/>
      <c r="DJ174" s="815"/>
      <c r="DK174" s="815"/>
      <c r="DL174" s="815"/>
      <c r="DM174" s="815"/>
      <c r="DN174" s="815"/>
      <c r="DO174" s="815"/>
      <c r="DP174" s="815"/>
      <c r="DQ174" s="815"/>
      <c r="DR174" s="815"/>
      <c r="DS174" s="815"/>
      <c r="DT174" s="815"/>
      <c r="DU174" s="815"/>
      <c r="DV174" s="815"/>
      <c r="DW174" s="815"/>
      <c r="DX174" s="815"/>
      <c r="DY174" s="815"/>
      <c r="DZ174" s="815"/>
      <c r="EA174" s="815"/>
      <c r="EB174" s="815"/>
      <c r="EC174" s="815"/>
      <c r="ED174" s="815"/>
      <c r="EE174" s="815"/>
      <c r="EF174" s="815"/>
      <c r="EG174" s="815"/>
      <c r="EH174" s="815"/>
      <c r="EI174" s="815"/>
      <c r="EJ174" s="815"/>
      <c r="EK174" s="815"/>
      <c r="EL174" s="815"/>
      <c r="EM174" s="815"/>
      <c r="EN174" s="815"/>
      <c r="EO174" s="815"/>
      <c r="EP174" s="815"/>
      <c r="EQ174" s="815"/>
      <c r="ER174" s="815"/>
      <c r="ES174" s="815"/>
      <c r="ET174" s="815"/>
      <c r="EU174" s="815"/>
      <c r="EV174" s="815"/>
      <c r="EW174" s="815"/>
      <c r="EX174" s="815"/>
      <c r="EY174" s="815"/>
      <c r="EZ174" s="815"/>
      <c r="FA174" s="815"/>
      <c r="FB174" s="815"/>
      <c r="FC174" s="815"/>
      <c r="FD174" s="815"/>
      <c r="FE174" s="815"/>
      <c r="FF174" s="815"/>
      <c r="FG174" s="815"/>
      <c r="FH174" s="815"/>
    </row>
    <row r="175" spans="1:164" ht="15" thickBot="1">
      <c r="A175" s="1057"/>
      <c r="B175" s="1058"/>
      <c r="C175" s="1059"/>
      <c r="D175" s="1059"/>
      <c r="E175" s="1059"/>
      <c r="F175" s="384"/>
      <c r="G175" s="384"/>
      <c r="H175" s="384"/>
      <c r="I175" s="384"/>
      <c r="J175" s="356"/>
      <c r="K175" s="356"/>
      <c r="L175" s="357"/>
      <c r="N175" s="84"/>
      <c r="O175" s="84"/>
      <c r="P175" s="403"/>
      <c r="Q175" s="403"/>
      <c r="R175" s="403"/>
      <c r="S175" s="403"/>
      <c r="T175" s="403"/>
      <c r="U175" s="403"/>
      <c r="V175" s="403"/>
      <c r="W175" s="403"/>
      <c r="Y175" s="84"/>
      <c r="Z175" s="403"/>
      <c r="AA175" s="403"/>
      <c r="AB175" s="403"/>
      <c r="AC175" s="403"/>
      <c r="AD175" s="403"/>
      <c r="AE175" s="403"/>
      <c r="AF175" s="403"/>
      <c r="AG175" s="403"/>
      <c r="AH175" s="403"/>
      <c r="AI175" s="403"/>
      <c r="AJ175" s="486"/>
      <c r="AK175" s="486"/>
      <c r="AL175" s="403"/>
      <c r="AM175" s="403"/>
      <c r="AN175" s="403"/>
      <c r="AO175" s="403"/>
      <c r="AP175" s="403"/>
      <c r="AQ175" s="403"/>
      <c r="AR175" s="403"/>
      <c r="AS175" s="403"/>
      <c r="AT175" s="403"/>
      <c r="AU175" s="403"/>
      <c r="AV175" s="403"/>
      <c r="AW175" s="486"/>
      <c r="AX175" s="486"/>
      <c r="AY175" s="403"/>
      <c r="AZ175" s="403"/>
      <c r="BA175" s="403"/>
      <c r="BB175" s="403"/>
      <c r="BC175" s="403"/>
      <c r="BD175" s="403"/>
      <c r="BE175" s="403"/>
      <c r="BF175" s="954"/>
      <c r="BG175" s="954"/>
      <c r="BH175" s="954"/>
      <c r="BI175" s="403"/>
      <c r="BJ175" s="486"/>
      <c r="BK175" s="486"/>
      <c r="BL175" s="403"/>
      <c r="BM175" s="403"/>
      <c r="BN175" s="403"/>
      <c r="BO175" s="403"/>
      <c r="BP175" s="403"/>
      <c r="BQ175" s="403"/>
      <c r="BR175" s="403"/>
      <c r="BS175" s="954"/>
      <c r="BT175" s="954"/>
      <c r="BU175" s="954"/>
      <c r="BV175" s="403"/>
      <c r="BW175" s="486"/>
      <c r="BX175" s="486"/>
      <c r="BY175" s="486"/>
      <c r="BZ175" s="486"/>
      <c r="CA175" s="486"/>
      <c r="CB175" s="486"/>
      <c r="CC175" s="486"/>
      <c r="CD175" s="486"/>
      <c r="CE175" s="486"/>
      <c r="CF175" s="486"/>
      <c r="CG175" s="486"/>
      <c r="CH175" s="486"/>
      <c r="CI175" s="486"/>
      <c r="CJ175" s="486"/>
      <c r="CK175" s="486"/>
      <c r="CL175" s="486"/>
      <c r="CM175" s="486"/>
      <c r="CN175" s="486"/>
      <c r="CO175" s="486"/>
      <c r="CP175" s="486"/>
      <c r="CQ175" s="486"/>
      <c r="CR175" s="486"/>
      <c r="CS175" s="486"/>
      <c r="CT175" s="486"/>
      <c r="CU175" s="486"/>
      <c r="CV175" s="486"/>
      <c r="CW175" s="486"/>
      <c r="CX175" s="486"/>
      <c r="CY175" s="486"/>
      <c r="CZ175" s="486"/>
      <c r="DA175" s="486"/>
      <c r="DB175" s="486"/>
      <c r="DC175" s="486"/>
      <c r="DD175" s="486"/>
      <c r="DE175" s="486"/>
      <c r="DF175" s="486"/>
      <c r="DG175" s="486"/>
      <c r="DH175" s="486"/>
      <c r="DI175" s="486"/>
      <c r="DJ175" s="486"/>
      <c r="DK175" s="486"/>
      <c r="DL175" s="486"/>
      <c r="DM175" s="486"/>
      <c r="DN175" s="486"/>
      <c r="DO175" s="486"/>
      <c r="DP175" s="486"/>
      <c r="DQ175" s="486"/>
      <c r="DR175" s="486"/>
      <c r="DS175" s="486"/>
      <c r="DT175" s="486"/>
      <c r="DU175" s="486"/>
      <c r="DV175" s="486"/>
      <c r="DW175" s="486"/>
      <c r="DX175" s="486"/>
      <c r="DY175" s="486"/>
      <c r="DZ175" s="486"/>
      <c r="EA175" s="486"/>
      <c r="EB175" s="486"/>
      <c r="EC175" s="486"/>
      <c r="ED175" s="486"/>
      <c r="EE175" s="486"/>
      <c r="EF175" s="486"/>
      <c r="EG175" s="486"/>
      <c r="EH175" s="486"/>
      <c r="EI175" s="486"/>
      <c r="EJ175" s="486"/>
      <c r="EK175" s="486"/>
      <c r="EL175" s="486"/>
      <c r="EM175" s="486"/>
      <c r="EN175" s="486"/>
      <c r="EO175" s="486"/>
      <c r="EP175" s="486"/>
      <c r="EQ175" s="486"/>
      <c r="ER175" s="486"/>
      <c r="ES175" s="486"/>
      <c r="ET175" s="486"/>
      <c r="EU175" s="486"/>
      <c r="EV175" s="486"/>
      <c r="EW175" s="486"/>
      <c r="EX175" s="486"/>
      <c r="EY175" s="486"/>
      <c r="EZ175" s="486"/>
      <c r="FA175" s="486"/>
      <c r="FB175" s="486"/>
      <c r="FC175" s="486"/>
      <c r="FD175" s="486"/>
      <c r="FE175" s="486"/>
      <c r="FF175" s="486"/>
      <c r="FG175" s="486"/>
      <c r="FH175" s="486"/>
    </row>
    <row r="176" spans="1:164" ht="15">
      <c r="A176" s="404"/>
      <c r="B176" s="1054"/>
      <c r="C176" s="471">
        <f>PROJNAME</f>
        <v>0</v>
      </c>
      <c r="D176" s="775"/>
      <c r="E176" s="775"/>
      <c r="F176" s="250"/>
      <c r="G176" s="250"/>
      <c r="H176" s="415" t="e">
        <f>$H$56</f>
        <v>#VALUE!</v>
      </c>
      <c r="I176" s="415"/>
      <c r="J176" s="415" t="e">
        <f>$J$56</f>
        <v>#VALUE!</v>
      </c>
      <c r="K176" s="415"/>
      <c r="L176" s="250"/>
      <c r="N176" s="84"/>
      <c r="O176" s="84"/>
      <c r="P176" s="804"/>
      <c r="Q176" s="804"/>
      <c r="R176" s="811"/>
      <c r="S176" s="811"/>
      <c r="T176" s="811"/>
      <c r="U176" s="811"/>
      <c r="V176" s="811"/>
      <c r="W176" s="806"/>
      <c r="X176" s="300"/>
      <c r="Y176" s="300"/>
      <c r="Z176" s="804"/>
      <c r="AA176" s="804"/>
      <c r="AB176" s="804"/>
      <c r="AC176" s="811"/>
      <c r="AD176" s="811"/>
      <c r="AE176" s="811"/>
      <c r="AF176" s="811"/>
      <c r="AG176" s="811"/>
      <c r="AH176" s="811"/>
      <c r="AI176" s="806"/>
      <c r="AJ176" s="806"/>
      <c r="AK176" s="806"/>
      <c r="AL176" s="804"/>
      <c r="AM176" s="804"/>
      <c r="AN176" s="804"/>
      <c r="AO176" s="811"/>
      <c r="AP176" s="811"/>
      <c r="AQ176" s="811"/>
      <c r="AR176" s="811"/>
      <c r="AS176" s="811"/>
      <c r="AT176" s="811"/>
      <c r="AU176" s="811"/>
      <c r="AV176" s="806"/>
      <c r="AW176" s="806"/>
      <c r="AX176" s="806"/>
      <c r="AY176" s="804"/>
      <c r="AZ176" s="804"/>
      <c r="BA176" s="804"/>
      <c r="BB176" s="811"/>
      <c r="BC176" s="811"/>
      <c r="BD176" s="811"/>
      <c r="BE176" s="811"/>
      <c r="BF176" s="949"/>
      <c r="BG176" s="949"/>
      <c r="BH176" s="949"/>
      <c r="BI176" s="806"/>
      <c r="BJ176" s="806"/>
      <c r="BK176" s="806"/>
      <c r="BL176" s="804"/>
      <c r="BM176" s="804"/>
      <c r="BN176" s="804"/>
      <c r="BO176" s="811"/>
      <c r="BP176" s="811"/>
      <c r="BQ176" s="811"/>
      <c r="BR176" s="811"/>
      <c r="BS176" s="949"/>
      <c r="BT176" s="949"/>
      <c r="BU176" s="949"/>
      <c r="BV176" s="806"/>
      <c r="BW176" s="486"/>
      <c r="BX176" s="486"/>
      <c r="BY176" s="486"/>
      <c r="BZ176" s="486"/>
      <c r="CA176" s="486"/>
      <c r="CB176" s="486"/>
      <c r="CC176" s="486"/>
      <c r="CD176" s="486"/>
      <c r="CE176" s="486"/>
      <c r="CF176" s="486"/>
      <c r="CG176" s="486"/>
      <c r="CH176" s="486"/>
      <c r="CI176" s="486"/>
      <c r="CJ176" s="486"/>
      <c r="CK176" s="486"/>
      <c r="CL176" s="486"/>
      <c r="CM176" s="486"/>
      <c r="CN176" s="486"/>
      <c r="CO176" s="486"/>
      <c r="CP176" s="486"/>
      <c r="CQ176" s="486"/>
      <c r="CR176" s="486"/>
      <c r="CS176" s="486"/>
      <c r="CT176" s="486"/>
      <c r="CU176" s="486"/>
      <c r="CV176" s="486"/>
      <c r="CW176" s="486"/>
      <c r="CX176" s="486"/>
      <c r="CY176" s="486"/>
      <c r="CZ176" s="486"/>
      <c r="DA176" s="486"/>
      <c r="DB176" s="486"/>
      <c r="DC176" s="486"/>
      <c r="DD176" s="486"/>
      <c r="DE176" s="486"/>
      <c r="DF176" s="486"/>
      <c r="DG176" s="486"/>
      <c r="DH176" s="486"/>
      <c r="DI176" s="486"/>
      <c r="DJ176" s="486"/>
      <c r="DK176" s="486"/>
      <c r="DL176" s="486"/>
      <c r="DM176" s="486"/>
      <c r="DN176" s="486"/>
      <c r="DO176" s="486"/>
      <c r="DP176" s="486"/>
      <c r="DQ176" s="486"/>
      <c r="DR176" s="486"/>
      <c r="DS176" s="486"/>
      <c r="DT176" s="486"/>
      <c r="DU176" s="486"/>
      <c r="DV176" s="486"/>
      <c r="DW176" s="486"/>
      <c r="DX176" s="486"/>
      <c r="DY176" s="486"/>
      <c r="DZ176" s="486"/>
      <c r="EA176" s="486"/>
      <c r="EB176" s="486"/>
      <c r="EC176" s="486"/>
      <c r="ED176" s="486"/>
      <c r="EE176" s="486"/>
      <c r="EF176" s="486"/>
      <c r="EG176" s="486"/>
      <c r="EH176" s="486"/>
      <c r="EI176" s="486"/>
      <c r="EJ176" s="486"/>
      <c r="EK176" s="486"/>
      <c r="EL176" s="486"/>
      <c r="EM176" s="486"/>
      <c r="EN176" s="486"/>
      <c r="EO176" s="486"/>
      <c r="EP176" s="486"/>
      <c r="EQ176" s="486"/>
      <c r="ER176" s="486"/>
      <c r="ES176" s="486"/>
      <c r="ET176" s="486"/>
      <c r="EU176" s="486"/>
      <c r="EV176" s="486"/>
      <c r="EW176" s="486"/>
      <c r="EX176" s="486"/>
      <c r="EY176" s="486"/>
      <c r="EZ176" s="486"/>
      <c r="FA176" s="486"/>
      <c r="FB176" s="486"/>
      <c r="FC176" s="486"/>
      <c r="FD176" s="486"/>
      <c r="FE176" s="486"/>
      <c r="FF176" s="486"/>
      <c r="FG176" s="486"/>
      <c r="FH176" s="486"/>
    </row>
    <row r="177" spans="1:164" ht="16.5" thickBot="1">
      <c r="A177" s="471" t="s">
        <v>1205</v>
      </c>
      <c r="B177" s="404"/>
      <c r="C177" s="471"/>
      <c r="D177" s="405"/>
      <c r="E177" s="405"/>
      <c r="F177" s="304"/>
      <c r="G177" s="304"/>
      <c r="H177" s="304"/>
      <c r="I177" s="304"/>
      <c r="J177" s="272" t="s">
        <v>1327</v>
      </c>
      <c r="K177" s="272"/>
      <c r="L177" s="250"/>
      <c r="N177" s="84"/>
      <c r="O177" s="84"/>
      <c r="P177" s="403"/>
      <c r="Q177" s="403"/>
      <c r="R177" s="403"/>
      <c r="S177" s="403"/>
      <c r="T177" s="403"/>
      <c r="U177" s="403"/>
      <c r="V177" s="403"/>
      <c r="W177" s="403"/>
      <c r="Y177" s="84"/>
      <c r="Z177" s="403"/>
      <c r="AA177" s="403"/>
      <c r="AB177" s="403"/>
      <c r="AC177" s="403"/>
      <c r="AD177" s="403"/>
      <c r="AE177" s="403"/>
      <c r="AF177" s="403"/>
      <c r="AG177" s="403"/>
      <c r="AH177" s="403"/>
      <c r="AI177" s="403"/>
      <c r="AJ177" s="486"/>
      <c r="AK177" s="486"/>
      <c r="AL177" s="403"/>
      <c r="AM177" s="403"/>
      <c r="AN177" s="403"/>
      <c r="AO177" s="403"/>
      <c r="AP177" s="403"/>
      <c r="AQ177" s="403"/>
      <c r="AR177" s="403"/>
      <c r="AS177" s="403"/>
      <c r="AT177" s="403"/>
      <c r="AU177" s="403"/>
      <c r="AV177" s="403"/>
      <c r="AW177" s="486"/>
      <c r="AX177" s="486"/>
      <c r="AY177" s="403"/>
      <c r="AZ177" s="403"/>
      <c r="BA177" s="403"/>
      <c r="BB177" s="403"/>
      <c r="BC177" s="403"/>
      <c r="BD177" s="403"/>
      <c r="BE177" s="403"/>
      <c r="BF177" s="954"/>
      <c r="BG177" s="954"/>
      <c r="BH177" s="954"/>
      <c r="BI177" s="403"/>
      <c r="BJ177" s="486"/>
      <c r="BK177" s="486"/>
      <c r="BL177" s="403"/>
      <c r="BM177" s="403"/>
      <c r="BN177" s="403"/>
      <c r="BO177" s="403"/>
      <c r="BP177" s="403"/>
      <c r="BQ177" s="403"/>
      <c r="BR177" s="403"/>
      <c r="BS177" s="954"/>
      <c r="BT177" s="954"/>
      <c r="BU177" s="954"/>
      <c r="BV177" s="403"/>
      <c r="BW177" s="486"/>
      <c r="BX177" s="486"/>
      <c r="BY177" s="486"/>
      <c r="BZ177" s="486"/>
      <c r="CA177" s="486"/>
      <c r="CB177" s="486"/>
      <c r="CC177" s="486"/>
      <c r="CD177" s="486"/>
      <c r="CE177" s="486"/>
      <c r="CF177" s="486"/>
      <c r="CG177" s="486"/>
      <c r="CH177" s="486"/>
      <c r="CI177" s="486"/>
      <c r="CJ177" s="486"/>
      <c r="CK177" s="486"/>
      <c r="CL177" s="486"/>
      <c r="CM177" s="486"/>
      <c r="CN177" s="486"/>
      <c r="CO177" s="486"/>
      <c r="CP177" s="486"/>
      <c r="CQ177" s="486"/>
      <c r="CR177" s="486"/>
      <c r="CS177" s="486"/>
      <c r="CT177" s="486"/>
      <c r="CU177" s="486"/>
      <c r="CV177" s="486"/>
      <c r="CW177" s="486"/>
      <c r="CX177" s="486"/>
      <c r="CY177" s="486"/>
      <c r="CZ177" s="486"/>
      <c r="DA177" s="486"/>
      <c r="DB177" s="486"/>
      <c r="DC177" s="486"/>
      <c r="DD177" s="486"/>
      <c r="DE177" s="486"/>
      <c r="DF177" s="486"/>
      <c r="DG177" s="486"/>
      <c r="DH177" s="486"/>
      <c r="DI177" s="486"/>
      <c r="DJ177" s="486"/>
      <c r="DK177" s="486"/>
      <c r="DL177" s="486"/>
      <c r="DM177" s="486"/>
      <c r="DN177" s="486"/>
      <c r="DO177" s="486"/>
      <c r="DP177" s="486"/>
      <c r="DQ177" s="486"/>
      <c r="DR177" s="486"/>
      <c r="DS177" s="486"/>
      <c r="DT177" s="486"/>
      <c r="DU177" s="486"/>
      <c r="DV177" s="486"/>
      <c r="DW177" s="486"/>
      <c r="DX177" s="486"/>
      <c r="DY177" s="486"/>
      <c r="DZ177" s="486"/>
      <c r="EA177" s="486"/>
      <c r="EB177" s="486"/>
      <c r="EC177" s="486"/>
      <c r="ED177" s="486"/>
      <c r="EE177" s="486"/>
      <c r="EF177" s="486"/>
      <c r="EG177" s="486"/>
      <c r="EH177" s="486"/>
      <c r="EI177" s="486"/>
      <c r="EJ177" s="486"/>
      <c r="EK177" s="486"/>
      <c r="EL177" s="486"/>
      <c r="EM177" s="486"/>
      <c r="EN177" s="486"/>
      <c r="EO177" s="486"/>
      <c r="EP177" s="486"/>
      <c r="EQ177" s="486"/>
      <c r="ER177" s="486"/>
      <c r="ES177" s="486"/>
      <c r="ET177" s="486"/>
      <c r="EU177" s="486"/>
      <c r="EV177" s="486"/>
      <c r="EW177" s="486"/>
      <c r="EX177" s="486"/>
      <c r="EY177" s="486"/>
      <c r="EZ177" s="486"/>
      <c r="FA177" s="486"/>
      <c r="FB177" s="486"/>
      <c r="FC177" s="486"/>
      <c r="FD177" s="486"/>
      <c r="FE177" s="486"/>
      <c r="FF177" s="486"/>
      <c r="FG177" s="486"/>
      <c r="FH177" s="486"/>
    </row>
    <row r="178" spans="1:164" ht="14.25">
      <c r="A178" s="1060"/>
      <c r="B178" s="1061"/>
      <c r="C178" s="1062"/>
      <c r="D178" s="1062"/>
      <c r="E178" s="1062"/>
      <c r="F178" s="385"/>
      <c r="G178" s="385"/>
      <c r="H178" s="385"/>
      <c r="I178" s="385"/>
      <c r="J178" s="377"/>
      <c r="K178" s="377"/>
      <c r="L178" s="378"/>
      <c r="N178" s="84"/>
      <c r="O178" s="84"/>
      <c r="P178" s="403"/>
      <c r="Q178" s="403"/>
      <c r="R178" s="403"/>
      <c r="S178" s="403"/>
      <c r="T178" s="403"/>
      <c r="U178" s="403"/>
      <c r="V178" s="403"/>
      <c r="W178" s="403"/>
      <c r="Y178" s="84"/>
      <c r="Z178" s="403"/>
      <c r="AA178" s="403"/>
      <c r="AB178" s="403"/>
      <c r="AC178" s="403"/>
      <c r="AD178" s="403"/>
      <c r="AE178" s="403"/>
      <c r="AF178" s="403"/>
      <c r="AG178" s="403"/>
      <c r="AH178" s="403"/>
      <c r="AI178" s="403"/>
      <c r="AJ178" s="486"/>
      <c r="AK178" s="486"/>
      <c r="AL178" s="403"/>
      <c r="AM178" s="403"/>
      <c r="AN178" s="403"/>
      <c r="AO178" s="403"/>
      <c r="AP178" s="403"/>
      <c r="AQ178" s="403"/>
      <c r="AR178" s="403"/>
      <c r="AS178" s="403"/>
      <c r="AT178" s="403"/>
      <c r="AU178" s="403"/>
      <c r="AV178" s="403"/>
      <c r="AW178" s="486"/>
      <c r="AX178" s="486"/>
      <c r="AY178" s="403"/>
      <c r="AZ178" s="403"/>
      <c r="BA178" s="403"/>
      <c r="BB178" s="403"/>
      <c r="BC178" s="403"/>
      <c r="BD178" s="403"/>
      <c r="BE178" s="403"/>
      <c r="BF178" s="954"/>
      <c r="BG178" s="954"/>
      <c r="BH178" s="954"/>
      <c r="BI178" s="403"/>
      <c r="BJ178" s="486"/>
      <c r="BK178" s="486"/>
      <c r="BL178" s="403"/>
      <c r="BM178" s="403"/>
      <c r="BN178" s="403"/>
      <c r="BO178" s="403"/>
      <c r="BP178" s="403"/>
      <c r="BQ178" s="403"/>
      <c r="BR178" s="403"/>
      <c r="BS178" s="954"/>
      <c r="BT178" s="954"/>
      <c r="BU178" s="954"/>
      <c r="BV178" s="403"/>
      <c r="BW178" s="486"/>
      <c r="BX178" s="486"/>
      <c r="BY178" s="486"/>
      <c r="BZ178" s="486"/>
      <c r="CA178" s="486"/>
      <c r="CB178" s="486"/>
      <c r="CC178" s="486"/>
      <c r="CD178" s="486"/>
      <c r="CE178" s="486"/>
      <c r="CF178" s="486"/>
      <c r="CG178" s="486"/>
      <c r="CH178" s="486"/>
      <c r="CI178" s="486"/>
      <c r="CJ178" s="486"/>
      <c r="CK178" s="486"/>
      <c r="CL178" s="486"/>
      <c r="CM178" s="486"/>
      <c r="CN178" s="486"/>
      <c r="CO178" s="486"/>
      <c r="CP178" s="486"/>
      <c r="CQ178" s="486"/>
      <c r="CR178" s="486"/>
      <c r="CS178" s="486"/>
      <c r="CT178" s="486"/>
      <c r="CU178" s="486"/>
      <c r="CV178" s="486"/>
      <c r="CW178" s="486"/>
      <c r="CX178" s="486"/>
      <c r="CY178" s="486"/>
      <c r="CZ178" s="486"/>
      <c r="DA178" s="486"/>
      <c r="DB178" s="486"/>
      <c r="DC178" s="486"/>
      <c r="DD178" s="486"/>
      <c r="DE178" s="486"/>
      <c r="DF178" s="486"/>
      <c r="DG178" s="486"/>
      <c r="DH178" s="486"/>
      <c r="DI178" s="486"/>
      <c r="DJ178" s="486"/>
      <c r="DK178" s="486"/>
      <c r="DL178" s="486"/>
      <c r="DM178" s="486"/>
      <c r="DN178" s="486"/>
      <c r="DO178" s="486"/>
      <c r="DP178" s="486"/>
      <c r="DQ178" s="486"/>
      <c r="DR178" s="486"/>
      <c r="DS178" s="486"/>
      <c r="DT178" s="486"/>
      <c r="DU178" s="486"/>
      <c r="DV178" s="486"/>
      <c r="DW178" s="486"/>
      <c r="DX178" s="486"/>
      <c r="DY178" s="486"/>
      <c r="DZ178" s="486"/>
      <c r="EA178" s="486"/>
      <c r="EB178" s="486"/>
      <c r="EC178" s="486"/>
      <c r="ED178" s="486"/>
      <c r="EE178" s="486"/>
      <c r="EF178" s="486"/>
      <c r="EG178" s="486"/>
      <c r="EH178" s="486"/>
      <c r="EI178" s="486"/>
      <c r="EJ178" s="486"/>
      <c r="EK178" s="486"/>
      <c r="EL178" s="486"/>
      <c r="EM178" s="486"/>
      <c r="EN178" s="486"/>
      <c r="EO178" s="486"/>
      <c r="EP178" s="486"/>
      <c r="EQ178" s="486"/>
      <c r="ER178" s="486"/>
      <c r="ES178" s="486"/>
      <c r="ET178" s="486"/>
      <c r="EU178" s="486"/>
      <c r="EV178" s="486"/>
      <c r="EW178" s="486"/>
      <c r="EX178" s="486"/>
      <c r="EY178" s="486"/>
      <c r="EZ178" s="486"/>
      <c r="FA178" s="486"/>
      <c r="FB178" s="486"/>
      <c r="FC178" s="486"/>
      <c r="FD178" s="486"/>
      <c r="FE178" s="486"/>
      <c r="FF178" s="486"/>
      <c r="FG178" s="486"/>
      <c r="FH178" s="486"/>
    </row>
    <row r="179" spans="1:164" ht="18.75">
      <c r="A179" s="407"/>
      <c r="B179" s="404"/>
      <c r="C179" s="1063" t="s">
        <v>1328</v>
      </c>
      <c r="D179" s="405"/>
      <c r="E179" s="405"/>
      <c r="F179" s="329"/>
      <c r="G179" s="329"/>
      <c r="H179" s="329"/>
      <c r="I179" s="353"/>
      <c r="J179" s="304"/>
      <c r="K179" s="304"/>
      <c r="L179" s="306"/>
      <c r="N179" s="84"/>
      <c r="O179" s="84"/>
      <c r="P179" s="403"/>
      <c r="Q179" s="403"/>
      <c r="R179" s="403"/>
      <c r="S179" s="403"/>
      <c r="T179" s="403"/>
      <c r="U179" s="403"/>
      <c r="V179" s="403"/>
      <c r="W179" s="403"/>
      <c r="Y179" s="84"/>
      <c r="Z179" s="403"/>
      <c r="AA179" s="403"/>
      <c r="AB179" s="403"/>
      <c r="AC179" s="403"/>
      <c r="AD179" s="403"/>
      <c r="AE179" s="403"/>
      <c r="AF179" s="403"/>
      <c r="AG179" s="403"/>
      <c r="AH179" s="403"/>
      <c r="AI179" s="403"/>
      <c r="AJ179" s="486"/>
      <c r="AK179" s="486"/>
      <c r="AL179" s="403"/>
      <c r="AM179" s="403"/>
      <c r="AN179" s="403"/>
      <c r="AO179" s="403"/>
      <c r="AP179" s="403"/>
      <c r="AQ179" s="403"/>
      <c r="AR179" s="403"/>
      <c r="AS179" s="403"/>
      <c r="AT179" s="403"/>
      <c r="AU179" s="403"/>
      <c r="AV179" s="403"/>
      <c r="AW179" s="486"/>
      <c r="AX179" s="486"/>
      <c r="AY179" s="403"/>
      <c r="AZ179" s="403"/>
      <c r="BA179" s="403"/>
      <c r="BB179" s="403"/>
      <c r="BC179" s="403"/>
      <c r="BD179" s="403"/>
      <c r="BE179" s="403"/>
      <c r="BF179" s="954"/>
      <c r="BG179" s="954"/>
      <c r="BH179" s="954"/>
      <c r="BI179" s="403"/>
      <c r="BJ179" s="486"/>
      <c r="BK179" s="486"/>
      <c r="BL179" s="403"/>
      <c r="BM179" s="403"/>
      <c r="BN179" s="403"/>
      <c r="BO179" s="403"/>
      <c r="BP179" s="403"/>
      <c r="BQ179" s="403"/>
      <c r="BR179" s="403"/>
      <c r="BS179" s="954"/>
      <c r="BT179" s="954"/>
      <c r="BU179" s="954"/>
      <c r="BV179" s="403"/>
      <c r="BW179" s="486"/>
      <c r="BX179" s="486"/>
      <c r="BY179" s="486"/>
      <c r="BZ179" s="486"/>
      <c r="CA179" s="486"/>
      <c r="CB179" s="486"/>
      <c r="CC179" s="486"/>
      <c r="CD179" s="486"/>
      <c r="CE179" s="486"/>
      <c r="CF179" s="486"/>
      <c r="CG179" s="486"/>
      <c r="CH179" s="486"/>
      <c r="CI179" s="486"/>
      <c r="CJ179" s="486"/>
      <c r="CK179" s="486"/>
      <c r="CL179" s="486"/>
      <c r="CM179" s="486"/>
      <c r="CN179" s="486"/>
      <c r="CO179" s="486"/>
      <c r="CP179" s="486"/>
      <c r="CQ179" s="486"/>
      <c r="CR179" s="486"/>
      <c r="CS179" s="486"/>
      <c r="CT179" s="486"/>
      <c r="CU179" s="486"/>
      <c r="CV179" s="486"/>
      <c r="CW179" s="486"/>
      <c r="CX179" s="486"/>
      <c r="CY179" s="486"/>
      <c r="CZ179" s="486"/>
      <c r="DA179" s="486"/>
      <c r="DB179" s="486"/>
      <c r="DC179" s="486"/>
      <c r="DD179" s="486"/>
      <c r="DE179" s="486"/>
      <c r="DF179" s="486"/>
      <c r="DG179" s="486"/>
      <c r="DH179" s="486"/>
      <c r="DI179" s="486"/>
      <c r="DJ179" s="486"/>
      <c r="DK179" s="486"/>
      <c r="DL179" s="486"/>
      <c r="DM179" s="486"/>
      <c r="DN179" s="486"/>
      <c r="DO179" s="486"/>
      <c r="DP179" s="486"/>
      <c r="DQ179" s="486"/>
      <c r="DR179" s="486"/>
      <c r="DS179" s="486"/>
      <c r="DT179" s="486"/>
      <c r="DU179" s="486"/>
      <c r="DV179" s="486"/>
      <c r="DW179" s="486"/>
      <c r="DX179" s="486"/>
      <c r="DY179" s="486"/>
      <c r="DZ179" s="486"/>
      <c r="EA179" s="486"/>
      <c r="EB179" s="486"/>
      <c r="EC179" s="486"/>
      <c r="ED179" s="486"/>
      <c r="EE179" s="486"/>
      <c r="EF179" s="486"/>
      <c r="EG179" s="486"/>
      <c r="EH179" s="486"/>
      <c r="EI179" s="486"/>
      <c r="EJ179" s="486"/>
      <c r="EK179" s="486"/>
      <c r="EL179" s="486"/>
      <c r="EM179" s="486"/>
      <c r="EN179" s="486"/>
      <c r="EO179" s="486"/>
      <c r="EP179" s="486"/>
      <c r="EQ179" s="486"/>
      <c r="ER179" s="486"/>
      <c r="ES179" s="486"/>
      <c r="ET179" s="486"/>
      <c r="EU179" s="486"/>
      <c r="EV179" s="486"/>
      <c r="EW179" s="486"/>
      <c r="EX179" s="486"/>
      <c r="EY179" s="486"/>
      <c r="EZ179" s="486"/>
      <c r="FA179" s="486"/>
      <c r="FB179" s="486"/>
      <c r="FC179" s="486"/>
      <c r="FD179" s="486"/>
      <c r="FE179" s="486"/>
      <c r="FF179" s="486"/>
      <c r="FG179" s="486"/>
      <c r="FH179" s="486"/>
    </row>
    <row r="180" spans="1:164" ht="14.25">
      <c r="A180" s="407"/>
      <c r="B180" s="404"/>
      <c r="C180" s="775"/>
      <c r="D180" s="775"/>
      <c r="E180" s="775"/>
      <c r="F180" s="353"/>
      <c r="G180" s="353"/>
      <c r="H180" s="353"/>
      <c r="I180" s="353"/>
      <c r="J180" s="250"/>
      <c r="K180" s="250"/>
      <c r="L180" s="335"/>
      <c r="N180" s="84"/>
      <c r="O180" s="84"/>
      <c r="P180" s="403"/>
      <c r="Q180" s="403"/>
      <c r="R180" s="403"/>
      <c r="S180" s="403"/>
      <c r="T180" s="403"/>
      <c r="U180" s="403"/>
      <c r="V180" s="403"/>
      <c r="W180" s="403"/>
      <c r="Y180" s="84"/>
      <c r="Z180" s="403"/>
      <c r="AA180" s="403"/>
      <c r="AB180" s="403"/>
      <c r="AC180" s="403"/>
      <c r="AD180" s="403"/>
      <c r="AE180" s="403"/>
      <c r="AF180" s="403"/>
      <c r="AG180" s="403"/>
      <c r="AH180" s="403"/>
      <c r="AI180" s="403"/>
      <c r="AJ180" s="486"/>
      <c r="AK180" s="486"/>
      <c r="AL180" s="403"/>
      <c r="AM180" s="403"/>
      <c r="AN180" s="403"/>
      <c r="AO180" s="403"/>
      <c r="AP180" s="403"/>
      <c r="AQ180" s="403"/>
      <c r="AR180" s="403"/>
      <c r="AS180" s="403"/>
      <c r="AT180" s="403"/>
      <c r="AU180" s="403"/>
      <c r="AV180" s="403"/>
      <c r="AW180" s="486"/>
      <c r="AX180" s="486"/>
      <c r="AY180" s="403"/>
      <c r="AZ180" s="403"/>
      <c r="BA180" s="403"/>
      <c r="BB180" s="403"/>
      <c r="BC180" s="403"/>
      <c r="BD180" s="403"/>
      <c r="BE180" s="403"/>
      <c r="BF180" s="954"/>
      <c r="BG180" s="954"/>
      <c r="BH180" s="954"/>
      <c r="BI180" s="403"/>
      <c r="BJ180" s="486"/>
      <c r="BK180" s="486"/>
      <c r="BL180" s="403"/>
      <c r="BM180" s="403"/>
      <c r="BN180" s="403"/>
      <c r="BO180" s="403"/>
      <c r="BP180" s="403"/>
      <c r="BQ180" s="403"/>
      <c r="BR180" s="403"/>
      <c r="BS180" s="954"/>
      <c r="BT180" s="954"/>
      <c r="BU180" s="954"/>
      <c r="BV180" s="403"/>
      <c r="BW180" s="486"/>
      <c r="BX180" s="486"/>
      <c r="BY180" s="486"/>
      <c r="BZ180" s="486"/>
      <c r="CA180" s="486"/>
      <c r="CB180" s="486"/>
      <c r="CC180" s="486"/>
      <c r="CD180" s="486"/>
      <c r="CE180" s="486"/>
      <c r="CF180" s="486"/>
      <c r="CG180" s="486"/>
      <c r="CH180" s="486"/>
      <c r="CI180" s="486"/>
      <c r="CJ180" s="486"/>
      <c r="CK180" s="486"/>
      <c r="CL180" s="486"/>
      <c r="CM180" s="486"/>
      <c r="CN180" s="486"/>
      <c r="CO180" s="486"/>
      <c r="CP180" s="486"/>
      <c r="CQ180" s="486"/>
      <c r="CR180" s="486"/>
      <c r="CS180" s="486"/>
      <c r="CT180" s="486"/>
      <c r="CU180" s="486"/>
      <c r="CV180" s="486"/>
      <c r="CW180" s="486"/>
      <c r="CX180" s="486"/>
      <c r="CY180" s="486"/>
      <c r="CZ180" s="486"/>
      <c r="DA180" s="486"/>
      <c r="DB180" s="486"/>
      <c r="DC180" s="486"/>
      <c r="DD180" s="486"/>
      <c r="DE180" s="486"/>
      <c r="DF180" s="486"/>
      <c r="DG180" s="486"/>
      <c r="DH180" s="486"/>
      <c r="DI180" s="486"/>
      <c r="DJ180" s="486"/>
      <c r="DK180" s="486"/>
      <c r="DL180" s="486"/>
      <c r="DM180" s="486"/>
      <c r="DN180" s="486"/>
      <c r="DO180" s="486"/>
      <c r="DP180" s="486"/>
      <c r="DQ180" s="486"/>
      <c r="DR180" s="486"/>
      <c r="DS180" s="486"/>
      <c r="DT180" s="486"/>
      <c r="DU180" s="486"/>
      <c r="DV180" s="486"/>
      <c r="DW180" s="486"/>
      <c r="DX180" s="486"/>
      <c r="DY180" s="486"/>
      <c r="DZ180" s="486"/>
      <c r="EA180" s="486"/>
      <c r="EB180" s="486"/>
      <c r="EC180" s="486"/>
      <c r="ED180" s="486"/>
      <c r="EE180" s="486"/>
      <c r="EF180" s="486"/>
      <c r="EG180" s="486"/>
      <c r="EH180" s="486"/>
      <c r="EI180" s="486"/>
      <c r="EJ180" s="486"/>
      <c r="EK180" s="486"/>
      <c r="EL180" s="486"/>
      <c r="EM180" s="486"/>
      <c r="EN180" s="486"/>
      <c r="EO180" s="486"/>
      <c r="EP180" s="486"/>
      <c r="EQ180" s="486"/>
      <c r="ER180" s="486"/>
      <c r="ES180" s="486"/>
      <c r="ET180" s="486"/>
      <c r="EU180" s="486"/>
      <c r="EV180" s="486"/>
      <c r="EW180" s="486"/>
      <c r="EX180" s="486"/>
      <c r="EY180" s="486"/>
      <c r="EZ180" s="486"/>
      <c r="FA180" s="486"/>
      <c r="FB180" s="486"/>
      <c r="FC180" s="486"/>
      <c r="FD180" s="486"/>
      <c r="FE180" s="486"/>
      <c r="FF180" s="486"/>
      <c r="FG180" s="486"/>
      <c r="FH180" s="486"/>
    </row>
    <row r="181" spans="1:164" ht="15.75">
      <c r="A181" s="407">
        <f>A173+1</f>
        <v>200</v>
      </c>
      <c r="B181" s="404" t="s">
        <v>636</v>
      </c>
      <c r="C181" s="405" t="s">
        <v>48</v>
      </c>
      <c r="D181" s="775"/>
      <c r="E181" s="775"/>
      <c r="F181" s="353"/>
      <c r="G181" s="353"/>
      <c r="H181" s="250"/>
      <c r="I181" s="1064"/>
      <c r="J181" s="250"/>
      <c r="K181" s="250"/>
      <c r="L181" s="335"/>
      <c r="N181" s="84"/>
      <c r="O181" s="84"/>
      <c r="P181" s="403"/>
      <c r="Q181" s="403"/>
      <c r="R181" s="403"/>
      <c r="S181" s="403"/>
      <c r="T181" s="403"/>
      <c r="U181" s="403"/>
      <c r="V181" s="403"/>
      <c r="W181" s="403"/>
      <c r="Y181" s="84"/>
      <c r="Z181" s="403"/>
      <c r="AA181" s="403"/>
      <c r="AB181" s="403"/>
      <c r="AC181" s="403"/>
      <c r="AD181" s="403"/>
      <c r="AE181" s="403"/>
      <c r="AF181" s="403"/>
      <c r="AG181" s="403"/>
      <c r="AH181" s="403"/>
      <c r="AI181" s="403"/>
      <c r="AJ181" s="486"/>
      <c r="AK181" s="486"/>
      <c r="AL181" s="403"/>
      <c r="AM181" s="403"/>
      <c r="AN181" s="403"/>
      <c r="AO181" s="403"/>
      <c r="AP181" s="403"/>
      <c r="AQ181" s="403"/>
      <c r="AR181" s="403"/>
      <c r="AS181" s="403"/>
      <c r="AT181" s="403"/>
      <c r="AU181" s="403"/>
      <c r="AV181" s="403"/>
      <c r="AW181" s="486"/>
      <c r="AX181" s="486"/>
      <c r="AY181" s="403"/>
      <c r="AZ181" s="403"/>
      <c r="BA181" s="403"/>
      <c r="BB181" s="403"/>
      <c r="BC181" s="403"/>
      <c r="BD181" s="403"/>
      <c r="BE181" s="403"/>
      <c r="BF181" s="954"/>
      <c r="BG181" s="954"/>
      <c r="BH181" s="954"/>
      <c r="BI181" s="403"/>
      <c r="BJ181" s="486"/>
      <c r="BK181" s="486"/>
      <c r="BL181" s="403"/>
      <c r="BM181" s="403"/>
      <c r="BN181" s="403"/>
      <c r="BO181" s="403"/>
      <c r="BP181" s="403"/>
      <c r="BQ181" s="403"/>
      <c r="BR181" s="403"/>
      <c r="BS181" s="954"/>
      <c r="BT181" s="954"/>
      <c r="BU181" s="954"/>
      <c r="BV181" s="403"/>
      <c r="BW181" s="486"/>
      <c r="BX181" s="486"/>
      <c r="BY181" s="486"/>
      <c r="BZ181" s="486"/>
      <c r="CA181" s="486"/>
      <c r="CB181" s="486"/>
      <c r="CC181" s="486"/>
      <c r="CD181" s="486"/>
      <c r="CE181" s="486"/>
      <c r="CF181" s="486"/>
      <c r="CG181" s="486"/>
      <c r="CH181" s="486"/>
      <c r="CI181" s="486"/>
      <c r="CJ181" s="486"/>
      <c r="CK181" s="486"/>
      <c r="CL181" s="486"/>
      <c r="CM181" s="486"/>
      <c r="CN181" s="486"/>
      <c r="CO181" s="486"/>
      <c r="CP181" s="486"/>
      <c r="CQ181" s="486"/>
      <c r="CR181" s="486"/>
      <c r="CS181" s="486"/>
      <c r="CT181" s="486"/>
      <c r="CU181" s="486"/>
      <c r="CV181" s="486"/>
      <c r="CW181" s="486"/>
      <c r="CX181" s="486"/>
      <c r="CY181" s="486"/>
      <c r="CZ181" s="486"/>
      <c r="DA181" s="486"/>
      <c r="DB181" s="486"/>
      <c r="DC181" s="486"/>
      <c r="DD181" s="486"/>
      <c r="DE181" s="486"/>
      <c r="DF181" s="486"/>
      <c r="DG181" s="486"/>
      <c r="DH181" s="486"/>
      <c r="DI181" s="486"/>
      <c r="DJ181" s="486"/>
      <c r="DK181" s="486"/>
      <c r="DL181" s="486"/>
      <c r="DM181" s="486"/>
      <c r="DN181" s="486"/>
      <c r="DO181" s="486"/>
      <c r="DP181" s="486"/>
      <c r="DQ181" s="486"/>
      <c r="DR181" s="486"/>
      <c r="DS181" s="486"/>
      <c r="DT181" s="486"/>
      <c r="DU181" s="486"/>
      <c r="DV181" s="486"/>
      <c r="DW181" s="486"/>
      <c r="DX181" s="486"/>
      <c r="DY181" s="486"/>
      <c r="DZ181" s="486"/>
      <c r="EA181" s="486"/>
      <c r="EB181" s="486"/>
      <c r="EC181" s="486"/>
      <c r="ED181" s="486"/>
      <c r="EE181" s="486"/>
      <c r="EF181" s="486"/>
      <c r="EG181" s="486"/>
      <c r="EH181" s="486"/>
      <c r="EI181" s="486"/>
      <c r="EJ181" s="486"/>
      <c r="EK181" s="486"/>
      <c r="EL181" s="486"/>
      <c r="EM181" s="486"/>
      <c r="EN181" s="486"/>
      <c r="EO181" s="486"/>
      <c r="EP181" s="486"/>
      <c r="EQ181" s="486"/>
      <c r="ER181" s="486"/>
      <c r="ES181" s="486"/>
      <c r="ET181" s="486"/>
      <c r="EU181" s="486"/>
      <c r="EV181" s="486"/>
      <c r="EW181" s="486"/>
      <c r="EX181" s="486"/>
      <c r="EY181" s="486"/>
      <c r="EZ181" s="486"/>
      <c r="FA181" s="486"/>
      <c r="FB181" s="486"/>
      <c r="FC181" s="486"/>
      <c r="FD181" s="486"/>
      <c r="FE181" s="486"/>
      <c r="FF181" s="486"/>
      <c r="FG181" s="486"/>
      <c r="FH181" s="486"/>
    </row>
    <row r="182" spans="1:164" ht="14.25">
      <c r="A182" s="302"/>
      <c r="B182" s="222"/>
      <c r="C182" s="250"/>
      <c r="D182" s="250"/>
      <c r="E182" s="250"/>
      <c r="F182" s="250"/>
      <c r="G182" s="250"/>
      <c r="H182" s="250"/>
      <c r="I182" s="775"/>
      <c r="J182" s="250"/>
      <c r="K182" s="250"/>
      <c r="L182" s="335"/>
      <c r="N182" s="84"/>
      <c r="O182" s="84"/>
      <c r="P182" s="403"/>
      <c r="Q182" s="403"/>
      <c r="R182" s="403"/>
      <c r="S182" s="403"/>
      <c r="T182" s="403"/>
      <c r="U182" s="403"/>
      <c r="V182" s="403"/>
      <c r="W182" s="403"/>
      <c r="Y182" s="84"/>
      <c r="Z182" s="403"/>
      <c r="AA182" s="403"/>
      <c r="AB182" s="403"/>
      <c r="AC182" s="403"/>
      <c r="AD182" s="403"/>
      <c r="AE182" s="403"/>
      <c r="AF182" s="403"/>
      <c r="AG182" s="403"/>
      <c r="AH182" s="403"/>
      <c r="AI182" s="403"/>
      <c r="AJ182" s="486"/>
      <c r="AK182" s="486"/>
      <c r="AL182" s="403"/>
      <c r="AM182" s="403"/>
      <c r="AN182" s="403"/>
      <c r="AO182" s="403"/>
      <c r="AP182" s="403"/>
      <c r="AQ182" s="403"/>
      <c r="AR182" s="403"/>
      <c r="AS182" s="403"/>
      <c r="AT182" s="403"/>
      <c r="AU182" s="403"/>
      <c r="AV182" s="403"/>
      <c r="AW182" s="486"/>
      <c r="AX182" s="486"/>
      <c r="AY182" s="403"/>
      <c r="AZ182" s="403"/>
      <c r="BA182" s="403"/>
      <c r="BB182" s="403"/>
      <c r="BC182" s="403"/>
      <c r="BD182" s="403"/>
      <c r="BE182" s="403"/>
      <c r="BF182" s="954"/>
      <c r="BG182" s="954"/>
      <c r="BH182" s="954"/>
      <c r="BI182" s="403"/>
      <c r="BJ182" s="486"/>
      <c r="BK182" s="486"/>
      <c r="BL182" s="403"/>
      <c r="BM182" s="403"/>
      <c r="BN182" s="403"/>
      <c r="BO182" s="403"/>
      <c r="BP182" s="403"/>
      <c r="BQ182" s="403"/>
      <c r="BR182" s="403"/>
      <c r="BS182" s="954"/>
      <c r="BT182" s="954"/>
      <c r="BU182" s="954"/>
      <c r="BV182" s="403"/>
      <c r="BW182" s="486"/>
      <c r="BX182" s="486"/>
      <c r="BY182" s="486"/>
      <c r="BZ182" s="486"/>
      <c r="CA182" s="486"/>
      <c r="CB182" s="486"/>
      <c r="CC182" s="486"/>
      <c r="CD182" s="486"/>
      <c r="CE182" s="486"/>
      <c r="CF182" s="486"/>
      <c r="CG182" s="486"/>
      <c r="CH182" s="486"/>
      <c r="CI182" s="486"/>
      <c r="CJ182" s="486"/>
      <c r="CK182" s="486"/>
      <c r="CL182" s="486"/>
      <c r="CM182" s="486"/>
      <c r="CN182" s="486"/>
      <c r="CO182" s="486"/>
      <c r="CP182" s="486"/>
      <c r="CQ182" s="486"/>
      <c r="CR182" s="486"/>
      <c r="CS182" s="486"/>
      <c r="CT182" s="486"/>
      <c r="CU182" s="486"/>
      <c r="CV182" s="486"/>
      <c r="CW182" s="486"/>
      <c r="CX182" s="486"/>
      <c r="CY182" s="486"/>
      <c r="CZ182" s="486"/>
      <c r="DA182" s="486"/>
      <c r="DB182" s="486"/>
      <c r="DC182" s="486"/>
      <c r="DD182" s="486"/>
      <c r="DE182" s="486"/>
      <c r="DF182" s="486"/>
      <c r="DG182" s="486"/>
      <c r="DH182" s="486"/>
      <c r="DI182" s="486"/>
      <c r="DJ182" s="486"/>
      <c r="DK182" s="486"/>
      <c r="DL182" s="486"/>
      <c r="DM182" s="486"/>
      <c r="DN182" s="486"/>
      <c r="DO182" s="486"/>
      <c r="DP182" s="486"/>
      <c r="DQ182" s="486"/>
      <c r="DR182" s="486"/>
      <c r="DS182" s="486"/>
      <c r="DT182" s="486"/>
      <c r="DU182" s="486"/>
      <c r="DV182" s="486"/>
      <c r="DW182" s="486"/>
      <c r="DX182" s="486"/>
      <c r="DY182" s="486"/>
      <c r="DZ182" s="486"/>
      <c r="EA182" s="486"/>
      <c r="EB182" s="486"/>
      <c r="EC182" s="486"/>
      <c r="ED182" s="486"/>
      <c r="EE182" s="486"/>
      <c r="EF182" s="486"/>
      <c r="EG182" s="486"/>
      <c r="EH182" s="486"/>
      <c r="EI182" s="486"/>
      <c r="EJ182" s="486"/>
      <c r="EK182" s="486"/>
      <c r="EL182" s="486"/>
      <c r="EM182" s="486"/>
      <c r="EN182" s="486"/>
      <c r="EO182" s="486"/>
      <c r="EP182" s="486"/>
      <c r="EQ182" s="486"/>
      <c r="ER182" s="486"/>
      <c r="ES182" s="486"/>
      <c r="ET182" s="486"/>
      <c r="EU182" s="486"/>
      <c r="EV182" s="486"/>
      <c r="EW182" s="486"/>
      <c r="EX182" s="486"/>
      <c r="EY182" s="486"/>
      <c r="EZ182" s="486"/>
      <c r="FA182" s="486"/>
      <c r="FB182" s="486"/>
      <c r="FC182" s="486"/>
      <c r="FD182" s="486"/>
      <c r="FE182" s="486"/>
      <c r="FF182" s="486"/>
      <c r="FG182" s="486"/>
      <c r="FH182" s="486"/>
    </row>
    <row r="183" spans="1:164" ht="15.75">
      <c r="A183" s="407"/>
      <c r="B183" s="404"/>
      <c r="C183" s="214" t="s">
        <v>1329</v>
      </c>
      <c r="D183" s="405"/>
      <c r="E183" s="405"/>
      <c r="F183" s="386"/>
      <c r="G183" s="329"/>
      <c r="H183" s="353"/>
      <c r="I183" s="1054"/>
      <c r="J183" s="353"/>
      <c r="K183" s="353"/>
      <c r="L183" s="306"/>
      <c r="N183" s="84"/>
      <c r="O183" s="84"/>
      <c r="P183" s="403"/>
      <c r="Q183" s="403"/>
      <c r="R183" s="403"/>
      <c r="S183" s="403"/>
      <c r="T183" s="403"/>
      <c r="U183" s="403"/>
      <c r="V183" s="403"/>
      <c r="W183" s="403"/>
      <c r="Y183" s="84"/>
      <c r="Z183" s="403"/>
      <c r="AA183" s="403"/>
      <c r="AB183" s="403"/>
      <c r="AC183" s="403"/>
      <c r="AD183" s="403"/>
      <c r="AE183" s="403"/>
      <c r="AF183" s="403"/>
      <c r="AG183" s="403"/>
      <c r="AH183" s="403"/>
      <c r="AI183" s="403"/>
      <c r="AJ183" s="486"/>
      <c r="AK183" s="486"/>
      <c r="AL183" s="403"/>
      <c r="AM183" s="403"/>
      <c r="AN183" s="403"/>
      <c r="AO183" s="403"/>
      <c r="AP183" s="403"/>
      <c r="AQ183" s="403"/>
      <c r="AR183" s="403"/>
      <c r="AS183" s="403"/>
      <c r="AT183" s="403"/>
      <c r="AU183" s="403"/>
      <c r="AV183" s="403"/>
      <c r="AW183" s="486"/>
      <c r="AX183" s="486"/>
      <c r="AY183" s="403"/>
      <c r="AZ183" s="403"/>
      <c r="BA183" s="403"/>
      <c r="BB183" s="403"/>
      <c r="BC183" s="403"/>
      <c r="BD183" s="403"/>
      <c r="BE183" s="403"/>
      <c r="BF183" s="954"/>
      <c r="BG183" s="954"/>
      <c r="BH183" s="954"/>
      <c r="BI183" s="403"/>
      <c r="BJ183" s="486"/>
      <c r="BK183" s="486"/>
      <c r="BL183" s="403"/>
      <c r="BM183" s="403"/>
      <c r="BN183" s="403"/>
      <c r="BO183" s="403"/>
      <c r="BP183" s="403"/>
      <c r="BQ183" s="403"/>
      <c r="BR183" s="403"/>
      <c r="BS183" s="954"/>
      <c r="BT183" s="954"/>
      <c r="BU183" s="954"/>
      <c r="BV183" s="403"/>
      <c r="BW183" s="486"/>
      <c r="BX183" s="486"/>
      <c r="BY183" s="486"/>
      <c r="BZ183" s="486"/>
      <c r="CA183" s="486"/>
      <c r="CB183" s="486"/>
      <c r="CC183" s="486"/>
      <c r="CD183" s="486"/>
      <c r="CE183" s="486"/>
      <c r="CF183" s="486"/>
      <c r="CG183" s="486"/>
      <c r="CH183" s="486"/>
      <c r="CI183" s="486"/>
      <c r="CJ183" s="486"/>
      <c r="CK183" s="486"/>
      <c r="CL183" s="486"/>
      <c r="CM183" s="486"/>
      <c r="CN183" s="486"/>
      <c r="CO183" s="486"/>
      <c r="CP183" s="486"/>
      <c r="CQ183" s="486"/>
      <c r="CR183" s="486"/>
      <c r="CS183" s="486"/>
      <c r="CT183" s="486"/>
      <c r="CU183" s="486"/>
      <c r="CV183" s="486"/>
      <c r="CW183" s="486"/>
      <c r="CX183" s="486"/>
      <c r="CY183" s="486"/>
      <c r="CZ183" s="486"/>
      <c r="DA183" s="486"/>
      <c r="DB183" s="486"/>
      <c r="DC183" s="486"/>
      <c r="DD183" s="486"/>
      <c r="DE183" s="486"/>
      <c r="DF183" s="486"/>
      <c r="DG183" s="486"/>
      <c r="DH183" s="486"/>
      <c r="DI183" s="486"/>
      <c r="DJ183" s="486"/>
      <c r="DK183" s="486"/>
      <c r="DL183" s="486"/>
      <c r="DM183" s="486"/>
      <c r="DN183" s="486"/>
      <c r="DO183" s="486"/>
      <c r="DP183" s="486"/>
      <c r="DQ183" s="486"/>
      <c r="DR183" s="486"/>
      <c r="DS183" s="486"/>
      <c r="DT183" s="486"/>
      <c r="DU183" s="486"/>
      <c r="DV183" s="486"/>
      <c r="DW183" s="486"/>
      <c r="DX183" s="486"/>
      <c r="DY183" s="486"/>
      <c r="DZ183" s="486"/>
      <c r="EA183" s="486"/>
      <c r="EB183" s="486"/>
      <c r="EC183" s="486"/>
      <c r="ED183" s="486"/>
      <c r="EE183" s="486"/>
      <c r="EF183" s="486"/>
      <c r="EG183" s="486"/>
      <c r="EH183" s="486"/>
      <c r="EI183" s="486"/>
      <c r="EJ183" s="486"/>
      <c r="EK183" s="486"/>
      <c r="EL183" s="486"/>
      <c r="EM183" s="486"/>
      <c r="EN183" s="486"/>
      <c r="EO183" s="486"/>
      <c r="EP183" s="486"/>
      <c r="EQ183" s="486"/>
      <c r="ER183" s="486"/>
      <c r="ES183" s="486"/>
      <c r="ET183" s="486"/>
      <c r="EU183" s="486"/>
      <c r="EV183" s="486"/>
      <c r="EW183" s="486"/>
      <c r="EX183" s="486"/>
      <c r="EY183" s="486"/>
      <c r="EZ183" s="486"/>
      <c r="FA183" s="486"/>
      <c r="FB183" s="486"/>
      <c r="FC183" s="486"/>
      <c r="FD183" s="486"/>
      <c r="FE183" s="486"/>
      <c r="FF183" s="486"/>
      <c r="FG183" s="486"/>
      <c r="FH183" s="486"/>
    </row>
    <row r="184" spans="1:164" ht="15.75">
      <c r="A184" s="407"/>
      <c r="B184" s="404"/>
      <c r="C184" s="214" t="s">
        <v>1330</v>
      </c>
      <c r="D184" s="405"/>
      <c r="E184" s="405"/>
      <c r="F184" s="329"/>
      <c r="G184" s="329"/>
      <c r="H184" s="353"/>
      <c r="I184" s="1054"/>
      <c r="J184" s="353"/>
      <c r="K184" s="353"/>
      <c r="L184" s="306"/>
      <c r="N184" s="84"/>
      <c r="O184" s="84"/>
      <c r="P184" s="403"/>
      <c r="Q184" s="403"/>
      <c r="R184" s="403"/>
      <c r="S184" s="403"/>
      <c r="T184" s="403"/>
      <c r="U184" s="403"/>
      <c r="V184" s="403"/>
      <c r="W184" s="403"/>
      <c r="Y184" s="84"/>
      <c r="Z184" s="403"/>
      <c r="AA184" s="403"/>
      <c r="AB184" s="403"/>
      <c r="AC184" s="403"/>
      <c r="AD184" s="403"/>
      <c r="AE184" s="403"/>
      <c r="AF184" s="403"/>
      <c r="AG184" s="403"/>
      <c r="AH184" s="403"/>
      <c r="AI184" s="403"/>
      <c r="AJ184" s="486"/>
      <c r="AK184" s="486"/>
      <c r="AL184" s="403"/>
      <c r="AM184" s="403"/>
      <c r="AN184" s="403"/>
      <c r="AO184" s="403"/>
      <c r="AP184" s="403"/>
      <c r="AQ184" s="403"/>
      <c r="AR184" s="403"/>
      <c r="AS184" s="403"/>
      <c r="AT184" s="403"/>
      <c r="AU184" s="403"/>
      <c r="AV184" s="403"/>
      <c r="AW184" s="486"/>
      <c r="AX184" s="486"/>
      <c r="AY184" s="403"/>
      <c r="AZ184" s="403"/>
      <c r="BA184" s="403"/>
      <c r="BB184" s="403"/>
      <c r="BC184" s="403"/>
      <c r="BD184" s="403"/>
      <c r="BE184" s="403"/>
      <c r="BF184" s="954"/>
      <c r="BG184" s="954"/>
      <c r="BH184" s="954"/>
      <c r="BI184" s="403"/>
      <c r="BJ184" s="486"/>
      <c r="BK184" s="486"/>
      <c r="BL184" s="403"/>
      <c r="BM184" s="403"/>
      <c r="BN184" s="403"/>
      <c r="BO184" s="403"/>
      <c r="BP184" s="403"/>
      <c r="BQ184" s="403"/>
      <c r="BR184" s="403"/>
      <c r="BS184" s="954"/>
      <c r="BT184" s="954"/>
      <c r="BU184" s="954"/>
      <c r="BV184" s="403"/>
      <c r="BW184" s="486"/>
      <c r="BX184" s="486"/>
      <c r="BY184" s="486"/>
      <c r="BZ184" s="486"/>
      <c r="CA184" s="486"/>
      <c r="CB184" s="486"/>
      <c r="CC184" s="486"/>
      <c r="CD184" s="486"/>
      <c r="CE184" s="486"/>
      <c r="CF184" s="486"/>
      <c r="CG184" s="486"/>
      <c r="CH184" s="486"/>
      <c r="CI184" s="486"/>
      <c r="CJ184" s="486"/>
      <c r="CK184" s="486"/>
      <c r="CL184" s="486"/>
      <c r="CM184" s="486"/>
      <c r="CN184" s="486"/>
      <c r="CO184" s="486"/>
      <c r="CP184" s="486"/>
      <c r="CQ184" s="486"/>
      <c r="CR184" s="486"/>
      <c r="CS184" s="486"/>
      <c r="CT184" s="486"/>
      <c r="CU184" s="486"/>
      <c r="CV184" s="486"/>
      <c r="CW184" s="486"/>
      <c r="CX184" s="486"/>
      <c r="CY184" s="486"/>
      <c r="CZ184" s="486"/>
      <c r="DA184" s="486"/>
      <c r="DB184" s="486"/>
      <c r="DC184" s="486"/>
      <c r="DD184" s="486"/>
      <c r="DE184" s="486"/>
      <c r="DF184" s="486"/>
      <c r="DG184" s="486"/>
      <c r="DH184" s="486"/>
      <c r="DI184" s="486"/>
      <c r="DJ184" s="486"/>
      <c r="DK184" s="486"/>
      <c r="DL184" s="486"/>
      <c r="DM184" s="486"/>
      <c r="DN184" s="486"/>
      <c r="DO184" s="486"/>
      <c r="DP184" s="486"/>
      <c r="DQ184" s="486"/>
      <c r="DR184" s="486"/>
      <c r="DS184" s="486"/>
      <c r="DT184" s="486"/>
      <c r="DU184" s="486"/>
      <c r="DV184" s="486"/>
      <c r="DW184" s="486"/>
      <c r="DX184" s="486"/>
      <c r="DY184" s="486"/>
      <c r="DZ184" s="486"/>
      <c r="EA184" s="486"/>
      <c r="EB184" s="486"/>
      <c r="EC184" s="486"/>
      <c r="ED184" s="486"/>
      <c r="EE184" s="486"/>
      <c r="EF184" s="486"/>
      <c r="EG184" s="486"/>
      <c r="EH184" s="486"/>
      <c r="EI184" s="486"/>
      <c r="EJ184" s="486"/>
      <c r="EK184" s="486"/>
      <c r="EL184" s="486"/>
      <c r="EM184" s="486"/>
      <c r="EN184" s="486"/>
      <c r="EO184" s="486"/>
      <c r="EP184" s="486"/>
      <c r="EQ184" s="486"/>
      <c r="ER184" s="486"/>
      <c r="ES184" s="486"/>
      <c r="ET184" s="486"/>
      <c r="EU184" s="486"/>
      <c r="EV184" s="486"/>
      <c r="EW184" s="486"/>
      <c r="EX184" s="486"/>
      <c r="EY184" s="486"/>
      <c r="EZ184" s="486"/>
      <c r="FA184" s="486"/>
      <c r="FB184" s="486"/>
      <c r="FC184" s="486"/>
      <c r="FD184" s="486"/>
      <c r="FE184" s="486"/>
      <c r="FF184" s="486"/>
      <c r="FG184" s="486"/>
      <c r="FH184" s="486"/>
    </row>
    <row r="185" spans="1:164" ht="15.75">
      <c r="A185" s="407">
        <f>A181+1</f>
        <v>201</v>
      </c>
      <c r="B185" s="404" t="s">
        <v>636</v>
      </c>
      <c r="C185" s="405" t="s">
        <v>1331</v>
      </c>
      <c r="D185" s="405"/>
      <c r="E185" s="405"/>
      <c r="F185" s="353"/>
      <c r="G185" s="353"/>
      <c r="H185" s="353"/>
      <c r="I185" s="1064"/>
      <c r="J185" s="353"/>
      <c r="K185" s="353"/>
      <c r="L185" s="306"/>
      <c r="N185" s="84"/>
      <c r="O185" s="84"/>
      <c r="P185" s="403"/>
      <c r="Q185" s="403"/>
      <c r="R185" s="403"/>
      <c r="S185" s="403"/>
      <c r="T185" s="403"/>
      <c r="U185" s="403"/>
      <c r="V185" s="403"/>
      <c r="W185" s="403"/>
      <c r="Y185" s="84"/>
      <c r="Z185" s="84"/>
      <c r="AA185" s="84"/>
      <c r="AB185" s="84"/>
      <c r="AC185" s="84"/>
      <c r="AD185" s="84"/>
      <c r="AE185" s="84"/>
      <c r="AF185" s="84"/>
      <c r="AG185" s="84"/>
      <c r="AH185" s="84"/>
      <c r="AI185" s="84"/>
      <c r="AL185" s="84"/>
      <c r="AM185" s="84"/>
      <c r="AN185" s="84"/>
      <c r="AO185" s="84"/>
      <c r="AP185" s="84"/>
      <c r="AQ185" s="84"/>
      <c r="AR185" s="84"/>
      <c r="AS185" s="84"/>
      <c r="AT185" s="84"/>
      <c r="AU185" s="84"/>
      <c r="AV185" s="84"/>
      <c r="AY185" s="84"/>
      <c r="AZ185" s="84"/>
      <c r="BA185" s="84"/>
      <c r="BB185" s="84"/>
      <c r="BC185" s="84"/>
      <c r="BD185" s="84"/>
      <c r="BE185" s="84"/>
      <c r="BF185" s="942"/>
      <c r="BG185" s="942"/>
      <c r="BH185" s="942"/>
      <c r="BI185" s="84"/>
      <c r="BL185" s="84"/>
      <c r="BM185" s="84"/>
      <c r="BN185" s="84"/>
      <c r="BO185" s="84"/>
      <c r="BP185" s="84"/>
      <c r="BQ185" s="84"/>
      <c r="BR185" s="84"/>
      <c r="BS185" s="942"/>
      <c r="BT185" s="942"/>
      <c r="BU185" s="942"/>
      <c r="BV185" s="84"/>
    </row>
    <row r="186" spans="1:164" ht="15.75">
      <c r="A186" s="407">
        <f t="shared" ref="A186:A191" si="63">A185+1</f>
        <v>202</v>
      </c>
      <c r="B186" s="404" t="s">
        <v>636</v>
      </c>
      <c r="C186" s="405" t="s">
        <v>1332</v>
      </c>
      <c r="D186" s="405"/>
      <c r="E186" s="405"/>
      <c r="F186" s="353"/>
      <c r="G186" s="353"/>
      <c r="H186" s="353"/>
      <c r="I186" s="1064"/>
      <c r="J186" s="353"/>
      <c r="K186" s="353"/>
      <c r="L186" s="306"/>
      <c r="N186" s="84"/>
      <c r="O186" s="84"/>
      <c r="P186" s="403"/>
      <c r="Q186" s="403"/>
      <c r="R186" s="403"/>
      <c r="S186" s="403"/>
      <c r="T186" s="403"/>
      <c r="U186" s="403"/>
      <c r="V186" s="403"/>
      <c r="W186" s="403"/>
      <c r="Y186" s="84"/>
      <c r="Z186" s="84"/>
      <c r="AA186" s="84"/>
      <c r="AB186" s="84"/>
      <c r="AC186" s="84"/>
      <c r="AD186" s="84"/>
      <c r="AE186" s="84"/>
      <c r="AF186" s="84"/>
      <c r="AG186" s="84"/>
      <c r="AH186" s="84"/>
      <c r="AI186" s="84"/>
      <c r="AL186" s="84"/>
      <c r="AM186" s="84"/>
      <c r="AN186" s="84"/>
      <c r="AO186" s="84"/>
      <c r="AP186" s="84"/>
      <c r="AQ186" s="84"/>
      <c r="AR186" s="84"/>
      <c r="AS186" s="84"/>
      <c r="AT186" s="84"/>
      <c r="AU186" s="84"/>
      <c r="AV186" s="84"/>
      <c r="AY186" s="84"/>
      <c r="AZ186" s="84"/>
      <c r="BA186" s="84"/>
      <c r="BB186" s="84"/>
      <c r="BC186" s="84"/>
      <c r="BD186" s="84"/>
      <c r="BE186" s="84"/>
      <c r="BF186" s="942"/>
      <c r="BG186" s="942"/>
      <c r="BH186" s="942"/>
      <c r="BI186" s="84"/>
      <c r="BL186" s="84"/>
      <c r="BM186" s="84"/>
      <c r="BN186" s="84"/>
      <c r="BO186" s="84"/>
      <c r="BP186" s="84"/>
      <c r="BQ186" s="84"/>
      <c r="BR186" s="84"/>
      <c r="BS186" s="942"/>
      <c r="BT186" s="942"/>
      <c r="BU186" s="942"/>
      <c r="BV186" s="84"/>
    </row>
    <row r="187" spans="1:164" ht="15.75">
      <c r="A187" s="407">
        <f t="shared" si="63"/>
        <v>203</v>
      </c>
      <c r="B187" s="404" t="s">
        <v>636</v>
      </c>
      <c r="C187" s="405" t="s">
        <v>1333</v>
      </c>
      <c r="D187" s="405"/>
      <c r="E187" s="405"/>
      <c r="F187" s="353"/>
      <c r="G187" s="353"/>
      <c r="H187" s="353"/>
      <c r="I187" s="1064"/>
      <c r="J187" s="353"/>
      <c r="K187" s="353"/>
      <c r="L187" s="306"/>
      <c r="N187" s="84"/>
      <c r="O187" s="84"/>
      <c r="P187" s="403"/>
      <c r="Q187" s="403"/>
      <c r="R187" s="403"/>
      <c r="S187" s="403"/>
      <c r="T187" s="403"/>
      <c r="U187" s="403"/>
      <c r="V187" s="403"/>
      <c r="W187" s="403"/>
      <c r="Y187" s="84"/>
      <c r="Z187" s="84"/>
      <c r="AA187" s="84"/>
      <c r="AB187" s="84"/>
      <c r="AC187" s="84"/>
      <c r="AD187" s="84"/>
      <c r="AE187" s="84"/>
      <c r="AF187" s="84"/>
      <c r="AG187" s="84"/>
      <c r="AH187" s="84"/>
      <c r="AI187" s="84"/>
      <c r="AL187" s="84"/>
      <c r="AM187" s="84"/>
      <c r="AN187" s="84"/>
      <c r="AO187" s="84"/>
      <c r="AP187" s="84"/>
      <c r="AQ187" s="84"/>
      <c r="AR187" s="84"/>
      <c r="AS187" s="84"/>
      <c r="AT187" s="84"/>
      <c r="AU187" s="84"/>
      <c r="AV187" s="84"/>
      <c r="AY187" s="84"/>
      <c r="AZ187" s="84"/>
      <c r="BA187" s="84"/>
      <c r="BB187" s="84"/>
      <c r="BC187" s="84"/>
      <c r="BD187" s="84"/>
      <c r="BE187" s="84"/>
      <c r="BF187" s="942"/>
      <c r="BG187" s="942"/>
      <c r="BH187" s="942"/>
      <c r="BI187" s="84"/>
      <c r="BL187" s="84"/>
      <c r="BM187" s="84"/>
      <c r="BN187" s="84"/>
      <c r="BO187" s="84"/>
      <c r="BP187" s="84"/>
      <c r="BQ187" s="84"/>
      <c r="BR187" s="84"/>
      <c r="BS187" s="942"/>
      <c r="BT187" s="942"/>
      <c r="BU187" s="942"/>
      <c r="BV187" s="84"/>
    </row>
    <row r="188" spans="1:164" ht="15.75">
      <c r="A188" s="407">
        <f t="shared" si="63"/>
        <v>204</v>
      </c>
      <c r="B188" s="404" t="s">
        <v>636</v>
      </c>
      <c r="C188" s="405" t="s">
        <v>1334</v>
      </c>
      <c r="D188" s="405"/>
      <c r="E188" s="405"/>
      <c r="F188" s="353"/>
      <c r="G188" s="353"/>
      <c r="H188" s="353"/>
      <c r="I188" s="1064"/>
      <c r="J188" s="353"/>
      <c r="K188" s="353"/>
      <c r="L188" s="306"/>
      <c r="N188" s="84"/>
      <c r="O188" s="84"/>
      <c r="P188" s="403"/>
      <c r="Q188" s="403"/>
      <c r="R188" s="403"/>
      <c r="S188" s="403"/>
      <c r="T188" s="403"/>
      <c r="U188" s="403"/>
      <c r="V188" s="403"/>
      <c r="W188" s="403"/>
      <c r="Y188" s="84"/>
      <c r="Z188" s="84"/>
      <c r="AA188" s="84"/>
      <c r="AB188" s="84"/>
      <c r="AC188" s="84"/>
      <c r="AD188" s="84"/>
      <c r="AE188" s="84"/>
      <c r="AF188" s="84"/>
      <c r="AG188" s="84"/>
      <c r="AH188" s="84"/>
      <c r="AI188" s="84"/>
      <c r="AL188" s="84"/>
      <c r="AM188" s="84"/>
      <c r="AN188" s="84"/>
      <c r="AO188" s="84"/>
      <c r="AP188" s="84"/>
      <c r="AQ188" s="84"/>
      <c r="AR188" s="84"/>
      <c r="AS188" s="84"/>
      <c r="AT188" s="84"/>
      <c r="AU188" s="84"/>
      <c r="AV188" s="84"/>
      <c r="AY188" s="84"/>
      <c r="AZ188" s="84"/>
      <c r="BA188" s="84"/>
      <c r="BB188" s="84"/>
      <c r="BC188" s="84"/>
      <c r="BD188" s="84"/>
      <c r="BE188" s="84"/>
      <c r="BF188" s="942"/>
      <c r="BG188" s="942"/>
      <c r="BH188" s="942"/>
      <c r="BI188" s="84"/>
      <c r="BL188" s="84"/>
      <c r="BM188" s="84"/>
      <c r="BN188" s="84"/>
      <c r="BO188" s="84"/>
      <c r="BP188" s="84"/>
      <c r="BQ188" s="84"/>
      <c r="BR188" s="84"/>
      <c r="BS188" s="942"/>
      <c r="BT188" s="942"/>
      <c r="BU188" s="942"/>
      <c r="BV188" s="84"/>
    </row>
    <row r="189" spans="1:164" ht="15.75">
      <c r="A189" s="407">
        <f t="shared" si="63"/>
        <v>205</v>
      </c>
      <c r="B189" s="404" t="s">
        <v>636</v>
      </c>
      <c r="C189" s="405" t="s">
        <v>1335</v>
      </c>
      <c r="D189" s="405"/>
      <c r="E189" s="405"/>
      <c r="F189" s="353"/>
      <c r="G189" s="353"/>
      <c r="H189" s="353"/>
      <c r="I189" s="1064"/>
      <c r="J189" s="353"/>
      <c r="K189" s="353"/>
      <c r="L189" s="306"/>
      <c r="N189" s="84"/>
      <c r="O189" s="84"/>
      <c r="P189" s="403"/>
      <c r="Q189" s="403"/>
      <c r="R189" s="403"/>
      <c r="S189" s="403"/>
      <c r="T189" s="403"/>
      <c r="U189" s="403"/>
      <c r="V189" s="403"/>
      <c r="W189" s="403"/>
      <c r="Y189" s="84"/>
      <c r="Z189" s="84"/>
      <c r="AA189" s="84"/>
      <c r="AB189" s="84"/>
      <c r="AC189" s="84"/>
      <c r="AD189" s="84"/>
      <c r="AE189" s="84"/>
      <c r="AF189" s="84"/>
      <c r="AG189" s="84"/>
      <c r="AH189" s="84"/>
      <c r="AI189" s="84"/>
      <c r="AL189" s="84"/>
      <c r="AM189" s="84"/>
      <c r="AN189" s="84"/>
      <c r="AO189" s="84"/>
      <c r="AP189" s="84"/>
      <c r="AQ189" s="84"/>
      <c r="AR189" s="84"/>
      <c r="AS189" s="84"/>
      <c r="AT189" s="84"/>
      <c r="AU189" s="84"/>
      <c r="AV189" s="84"/>
      <c r="AY189" s="84"/>
      <c r="AZ189" s="84"/>
      <c r="BA189" s="84"/>
      <c r="BB189" s="84"/>
      <c r="BC189" s="84"/>
      <c r="BD189" s="84"/>
      <c r="BE189" s="84"/>
      <c r="BF189" s="942"/>
      <c r="BG189" s="942"/>
      <c r="BH189" s="942"/>
      <c r="BI189" s="84"/>
      <c r="BL189" s="84"/>
      <c r="BM189" s="84"/>
      <c r="BN189" s="84"/>
      <c r="BO189" s="84"/>
      <c r="BP189" s="84"/>
      <c r="BQ189" s="84"/>
      <c r="BR189" s="84"/>
      <c r="BS189" s="942"/>
      <c r="BT189" s="942"/>
      <c r="BU189" s="942"/>
      <c r="BV189" s="84"/>
    </row>
    <row r="190" spans="1:164" ht="15.75">
      <c r="A190" s="407">
        <f t="shared" si="63"/>
        <v>206</v>
      </c>
      <c r="B190" s="404" t="s">
        <v>636</v>
      </c>
      <c r="C190" s="405" t="s">
        <v>1343</v>
      </c>
      <c r="D190" s="405"/>
      <c r="E190" s="405"/>
      <c r="F190" s="353"/>
      <c r="G190" s="353"/>
      <c r="H190" s="353"/>
      <c r="I190" s="1064"/>
      <c r="J190" s="353"/>
      <c r="K190" s="353"/>
      <c r="L190" s="306"/>
      <c r="N190" s="84"/>
      <c r="O190" s="84"/>
      <c r="P190" s="403"/>
      <c r="Q190" s="403"/>
      <c r="R190" s="403"/>
      <c r="S190" s="403"/>
      <c r="T190" s="403"/>
      <c r="U190" s="403"/>
      <c r="V190" s="403"/>
      <c r="W190" s="403"/>
      <c r="Y190" s="84"/>
      <c r="Z190" s="84"/>
      <c r="AA190" s="84"/>
      <c r="AB190" s="84"/>
      <c r="AC190" s="84"/>
      <c r="AD190" s="84"/>
      <c r="AE190" s="84"/>
      <c r="AF190" s="84"/>
      <c r="AG190" s="84"/>
      <c r="AH190" s="84"/>
      <c r="AI190" s="84"/>
      <c r="AL190" s="84"/>
      <c r="AM190" s="84"/>
      <c r="AN190" s="84"/>
      <c r="AO190" s="84"/>
      <c r="AP190" s="84"/>
      <c r="AQ190" s="84"/>
      <c r="AR190" s="84"/>
      <c r="AS190" s="84"/>
      <c r="AT190" s="84"/>
      <c r="AU190" s="84"/>
      <c r="AV190" s="84"/>
      <c r="AY190" s="84"/>
      <c r="AZ190" s="84"/>
      <c r="BA190" s="84"/>
      <c r="BB190" s="84"/>
      <c r="BC190" s="84"/>
      <c r="BD190" s="84"/>
      <c r="BE190" s="84"/>
      <c r="BF190" s="942"/>
      <c r="BG190" s="942"/>
      <c r="BH190" s="942"/>
      <c r="BI190" s="84"/>
      <c r="BL190" s="84"/>
      <c r="BM190" s="84"/>
      <c r="BN190" s="84"/>
      <c r="BO190" s="84"/>
      <c r="BP190" s="84"/>
      <c r="BQ190" s="84"/>
      <c r="BR190" s="84"/>
      <c r="BS190" s="942"/>
      <c r="BT190" s="942"/>
      <c r="BU190" s="942"/>
      <c r="BV190" s="84"/>
    </row>
    <row r="191" spans="1:164" ht="15.75">
      <c r="A191" s="407">
        <f t="shared" si="63"/>
        <v>207</v>
      </c>
      <c r="B191" s="404" t="s">
        <v>636</v>
      </c>
      <c r="C191" s="405" t="s">
        <v>1344</v>
      </c>
      <c r="D191" s="775"/>
      <c r="E191" s="775"/>
      <c r="F191" s="353"/>
      <c r="G191" s="353"/>
      <c r="H191" s="353"/>
      <c r="I191" s="762">
        <f>SUM(I185:I190)</f>
        <v>0</v>
      </c>
      <c r="J191" s="353"/>
      <c r="K191" s="353"/>
      <c r="L191" s="335"/>
      <c r="N191" s="84"/>
      <c r="O191" s="84"/>
      <c r="P191" s="403"/>
      <c r="Q191" s="403"/>
      <c r="R191" s="403"/>
      <c r="S191" s="403"/>
      <c r="T191" s="403"/>
      <c r="U191" s="403"/>
      <c r="V191" s="403"/>
      <c r="W191" s="403"/>
      <c r="Y191" s="84"/>
      <c r="Z191" s="84"/>
      <c r="AA191" s="84"/>
      <c r="AB191" s="84"/>
      <c r="AC191" s="84"/>
      <c r="AD191" s="84"/>
      <c r="AE191" s="84"/>
      <c r="AF191" s="84"/>
      <c r="AG191" s="84"/>
      <c r="AH191" s="84"/>
      <c r="AI191" s="84"/>
      <c r="AL191" s="84"/>
      <c r="AM191" s="84"/>
      <c r="AN191" s="84"/>
      <c r="AO191" s="84"/>
      <c r="AP191" s="84"/>
      <c r="AQ191" s="84"/>
      <c r="AR191" s="84"/>
      <c r="AS191" s="84"/>
      <c r="AT191" s="84"/>
      <c r="AU191" s="84"/>
      <c r="AV191" s="84"/>
      <c r="AY191" s="84"/>
      <c r="AZ191" s="84"/>
      <c r="BA191" s="84"/>
      <c r="BB191" s="84"/>
      <c r="BC191" s="84"/>
      <c r="BD191" s="84"/>
      <c r="BE191" s="84"/>
      <c r="BF191" s="942"/>
      <c r="BG191" s="942"/>
      <c r="BH191" s="942"/>
      <c r="BI191" s="84"/>
      <c r="BL191" s="84"/>
      <c r="BM191" s="84"/>
      <c r="BN191" s="84"/>
      <c r="BO191" s="84"/>
      <c r="BP191" s="84"/>
      <c r="BQ191" s="84"/>
      <c r="BR191" s="84"/>
      <c r="BS191" s="942"/>
      <c r="BT191" s="942"/>
      <c r="BU191" s="942"/>
      <c r="BV191" s="84"/>
    </row>
    <row r="192" spans="1:164" ht="15.75">
      <c r="A192" s="407">
        <f>A191+1</f>
        <v>208</v>
      </c>
      <c r="B192" s="404" t="s">
        <v>636</v>
      </c>
      <c r="C192" s="405" t="s">
        <v>22</v>
      </c>
      <c r="D192" s="1054"/>
      <c r="E192" s="1054"/>
      <c r="F192" s="250"/>
      <c r="G192" s="250"/>
      <c r="H192" s="353"/>
      <c r="I192" s="1054"/>
      <c r="J192" s="353"/>
      <c r="K192" s="353"/>
      <c r="L192" s="335"/>
      <c r="N192" s="84"/>
      <c r="O192" s="84"/>
      <c r="P192" s="403"/>
      <c r="Q192" s="403"/>
      <c r="R192" s="403"/>
      <c r="S192" s="403"/>
      <c r="T192" s="403"/>
      <c r="U192" s="403"/>
      <c r="V192" s="403"/>
      <c r="W192" s="403"/>
      <c r="Y192" s="84"/>
      <c r="Z192" s="84"/>
      <c r="AA192" s="84"/>
      <c r="AB192" s="84"/>
      <c r="AC192" s="84"/>
      <c r="AD192" s="84"/>
      <c r="AE192" s="84"/>
      <c r="AF192" s="84"/>
      <c r="AG192" s="84"/>
      <c r="AH192" s="84"/>
      <c r="AI192" s="84"/>
      <c r="AL192" s="84"/>
      <c r="AM192" s="84"/>
      <c r="AN192" s="84"/>
      <c r="AO192" s="84"/>
      <c r="AP192" s="84"/>
      <c r="AQ192" s="84"/>
      <c r="AR192" s="84"/>
      <c r="AS192" s="84"/>
      <c r="AT192" s="84"/>
      <c r="AU192" s="84"/>
      <c r="AV192" s="84"/>
      <c r="AY192" s="84"/>
      <c r="AZ192" s="84"/>
      <c r="BA192" s="84"/>
      <c r="BB192" s="84"/>
      <c r="BC192" s="84"/>
      <c r="BD192" s="84"/>
      <c r="BE192" s="84"/>
      <c r="BF192" s="942"/>
      <c r="BG192" s="942"/>
      <c r="BH192" s="942"/>
      <c r="BI192" s="84"/>
      <c r="BL192" s="84"/>
      <c r="BM192" s="84"/>
      <c r="BN192" s="84"/>
      <c r="BO192" s="84"/>
      <c r="BP192" s="84"/>
      <c r="BQ192" s="84"/>
      <c r="BR192" s="84"/>
      <c r="BS192" s="942"/>
      <c r="BT192" s="942"/>
      <c r="BU192" s="942"/>
      <c r="BV192" s="84"/>
    </row>
    <row r="193" spans="1:74" ht="15.75">
      <c r="A193" s="407"/>
      <c r="B193" s="404"/>
      <c r="C193" s="214" t="s">
        <v>1345</v>
      </c>
      <c r="D193" s="405"/>
      <c r="E193" s="405"/>
      <c r="F193" s="304"/>
      <c r="G193" s="304"/>
      <c r="H193" s="353"/>
      <c r="I193" s="1054"/>
      <c r="J193" s="353"/>
      <c r="K193" s="353"/>
      <c r="L193" s="306"/>
      <c r="N193" s="84"/>
      <c r="O193" s="84"/>
      <c r="P193" s="403"/>
      <c r="Q193" s="403"/>
      <c r="R193" s="403"/>
      <c r="S193" s="403"/>
      <c r="T193" s="403"/>
      <c r="U193" s="403"/>
      <c r="V193" s="403"/>
      <c r="W193" s="403"/>
      <c r="Y193" s="84"/>
      <c r="Z193" s="84"/>
      <c r="AA193" s="84"/>
      <c r="AB193" s="84"/>
      <c r="AC193" s="84"/>
      <c r="AD193" s="84"/>
      <c r="AE193" s="84"/>
      <c r="AF193" s="84"/>
      <c r="AG193" s="84"/>
      <c r="AH193" s="84"/>
      <c r="AI193" s="84"/>
      <c r="AL193" s="84"/>
      <c r="AM193" s="84"/>
      <c r="AN193" s="84"/>
      <c r="AO193" s="84"/>
      <c r="AP193" s="84"/>
      <c r="AQ193" s="84"/>
      <c r="AR193" s="84"/>
      <c r="AS193" s="84"/>
      <c r="AT193" s="84"/>
      <c r="AU193" s="84"/>
      <c r="AV193" s="84"/>
      <c r="AY193" s="84"/>
      <c r="AZ193" s="84"/>
      <c r="BA193" s="84"/>
      <c r="BB193" s="84"/>
      <c r="BC193" s="84"/>
      <c r="BD193" s="84"/>
      <c r="BE193" s="84"/>
      <c r="BF193" s="942"/>
      <c r="BG193" s="942"/>
      <c r="BH193" s="942"/>
      <c r="BI193" s="84"/>
      <c r="BL193" s="84"/>
      <c r="BM193" s="84"/>
      <c r="BN193" s="84"/>
      <c r="BO193" s="84"/>
      <c r="BP193" s="84"/>
      <c r="BQ193" s="84"/>
      <c r="BR193" s="84"/>
      <c r="BS193" s="942"/>
      <c r="BT193" s="942"/>
      <c r="BU193" s="942"/>
      <c r="BV193" s="84"/>
    </row>
    <row r="194" spans="1:74" ht="15.75">
      <c r="A194" s="407">
        <f>A192+1</f>
        <v>209</v>
      </c>
      <c r="B194" s="404" t="s">
        <v>636</v>
      </c>
      <c r="C194" s="405" t="s">
        <v>1346</v>
      </c>
      <c r="D194" s="405"/>
      <c r="E194" s="405"/>
      <c r="F194" s="353"/>
      <c r="G194" s="353"/>
      <c r="H194" s="353"/>
      <c r="I194" s="1064"/>
      <c r="J194" s="353"/>
      <c r="K194" s="353"/>
      <c r="L194" s="306"/>
      <c r="N194" s="84"/>
      <c r="O194" s="84"/>
      <c r="P194" s="403"/>
      <c r="Q194" s="403"/>
      <c r="R194" s="403"/>
      <c r="S194" s="403"/>
      <c r="T194" s="403"/>
      <c r="U194" s="403"/>
      <c r="V194" s="403"/>
      <c r="W194" s="403"/>
      <c r="Y194" s="84"/>
      <c r="Z194" s="84"/>
      <c r="AA194" s="84"/>
      <c r="AB194" s="84"/>
      <c r="AC194" s="84"/>
      <c r="AD194" s="84"/>
      <c r="AE194" s="84"/>
      <c r="AF194" s="84"/>
      <c r="AG194" s="84"/>
      <c r="AH194" s="84"/>
      <c r="AI194" s="84"/>
      <c r="AL194" s="84"/>
      <c r="AM194" s="84"/>
      <c r="AN194" s="84"/>
      <c r="AO194" s="84"/>
      <c r="AP194" s="84"/>
      <c r="AQ194" s="84"/>
      <c r="AR194" s="84"/>
      <c r="AS194" s="84"/>
      <c r="AT194" s="84"/>
      <c r="AU194" s="84"/>
      <c r="AV194" s="84"/>
      <c r="AY194" s="84"/>
      <c r="AZ194" s="84"/>
      <c r="BA194" s="84"/>
      <c r="BB194" s="84"/>
      <c r="BC194" s="84"/>
      <c r="BD194" s="84"/>
      <c r="BE194" s="84"/>
      <c r="BF194" s="942"/>
      <c r="BG194" s="942"/>
      <c r="BH194" s="942"/>
      <c r="BI194" s="84"/>
      <c r="BL194" s="84"/>
      <c r="BM194" s="84"/>
      <c r="BN194" s="84"/>
      <c r="BO194" s="84"/>
      <c r="BP194" s="84"/>
      <c r="BQ194" s="84"/>
      <c r="BR194" s="84"/>
      <c r="BS194" s="942"/>
      <c r="BT194" s="942"/>
      <c r="BU194" s="942"/>
      <c r="BV194" s="84"/>
    </row>
    <row r="195" spans="1:74" ht="15.75">
      <c r="A195" s="407">
        <f>A194+1</f>
        <v>210</v>
      </c>
      <c r="B195" s="404" t="s">
        <v>636</v>
      </c>
      <c r="C195" s="405" t="s">
        <v>1347</v>
      </c>
      <c r="D195" s="405"/>
      <c r="E195" s="405"/>
      <c r="F195" s="353"/>
      <c r="G195" s="353"/>
      <c r="H195" s="353"/>
      <c r="I195" s="1064"/>
      <c r="J195" s="353"/>
      <c r="K195" s="353"/>
      <c r="L195" s="306"/>
      <c r="N195" s="84"/>
      <c r="O195" s="84"/>
      <c r="P195" s="403"/>
      <c r="Q195" s="403"/>
      <c r="R195" s="403"/>
      <c r="S195" s="403"/>
      <c r="T195" s="403"/>
      <c r="U195" s="403"/>
      <c r="V195" s="403"/>
      <c r="W195" s="403"/>
      <c r="Y195" s="84"/>
      <c r="Z195" s="84"/>
      <c r="AA195" s="84"/>
      <c r="AB195" s="84"/>
      <c r="AC195" s="84"/>
      <c r="AD195" s="84"/>
      <c r="AE195" s="84"/>
      <c r="AF195" s="84"/>
      <c r="AG195" s="84"/>
      <c r="AH195" s="84"/>
      <c r="AI195" s="84"/>
      <c r="AL195" s="84"/>
      <c r="AM195" s="84"/>
      <c r="AN195" s="84"/>
      <c r="AO195" s="84"/>
      <c r="AP195" s="84"/>
      <c r="AQ195" s="84"/>
      <c r="AR195" s="84"/>
      <c r="AS195" s="84"/>
      <c r="AT195" s="84"/>
      <c r="AU195" s="84"/>
      <c r="AV195" s="84"/>
      <c r="AY195" s="84"/>
      <c r="AZ195" s="84"/>
      <c r="BA195" s="84"/>
      <c r="BB195" s="84"/>
      <c r="BC195" s="84"/>
      <c r="BD195" s="84"/>
      <c r="BE195" s="84"/>
      <c r="BF195" s="942"/>
      <c r="BG195" s="942"/>
      <c r="BH195" s="942"/>
      <c r="BI195" s="84"/>
      <c r="BL195" s="84"/>
      <c r="BM195" s="84"/>
      <c r="BN195" s="84"/>
      <c r="BO195" s="84"/>
      <c r="BP195" s="84"/>
      <c r="BQ195" s="84"/>
      <c r="BR195" s="84"/>
      <c r="BS195" s="942"/>
      <c r="BT195" s="942"/>
      <c r="BU195" s="942"/>
      <c r="BV195" s="84"/>
    </row>
    <row r="196" spans="1:74" ht="15.75">
      <c r="A196" s="407">
        <f>A195+1</f>
        <v>211</v>
      </c>
      <c r="B196" s="404" t="s">
        <v>636</v>
      </c>
      <c r="C196" s="405" t="s">
        <v>1348</v>
      </c>
      <c r="D196" s="405"/>
      <c r="E196" s="405"/>
      <c r="F196" s="353"/>
      <c r="G196" s="353"/>
      <c r="H196" s="353"/>
      <c r="I196" s="1108"/>
      <c r="J196" s="353"/>
      <c r="K196" s="353"/>
      <c r="L196" s="306"/>
      <c r="N196" s="84"/>
      <c r="O196" s="84"/>
      <c r="P196" s="84"/>
      <c r="Q196" s="84"/>
      <c r="R196" s="84"/>
      <c r="S196" s="84"/>
      <c r="T196" s="84"/>
      <c r="U196" s="84"/>
      <c r="V196" s="84"/>
      <c r="W196" s="84"/>
      <c r="Y196" s="84"/>
      <c r="Z196" s="84"/>
      <c r="AA196" s="84"/>
      <c r="AB196" s="84"/>
      <c r="AC196" s="84"/>
      <c r="AD196" s="84"/>
      <c r="AE196" s="84"/>
      <c r="AF196" s="84"/>
      <c r="AG196" s="84"/>
      <c r="AH196" s="84"/>
      <c r="AI196" s="84"/>
      <c r="AL196" s="84"/>
      <c r="AM196" s="84"/>
      <c r="AN196" s="84"/>
      <c r="AO196" s="84"/>
      <c r="AP196" s="84"/>
      <c r="AQ196" s="84"/>
      <c r="AR196" s="84"/>
      <c r="AS196" s="84"/>
      <c r="AT196" s="84"/>
      <c r="AU196" s="84"/>
      <c r="AV196" s="84"/>
      <c r="AY196" s="84"/>
      <c r="AZ196" s="84"/>
      <c r="BA196" s="84"/>
      <c r="BB196" s="84"/>
      <c r="BC196" s="84"/>
      <c r="BD196" s="84"/>
      <c r="BE196" s="84"/>
      <c r="BF196" s="942"/>
      <c r="BG196" s="942"/>
      <c r="BH196" s="942"/>
      <c r="BI196" s="84"/>
      <c r="BL196" s="84"/>
      <c r="BM196" s="84"/>
      <c r="BN196" s="84"/>
      <c r="BO196" s="84"/>
      <c r="BP196" s="84"/>
      <c r="BQ196" s="84"/>
      <c r="BR196" s="84"/>
      <c r="BS196" s="942"/>
      <c r="BT196" s="942"/>
      <c r="BU196" s="942"/>
      <c r="BV196" s="84"/>
    </row>
    <row r="197" spans="1:74" ht="15.75">
      <c r="A197" s="407">
        <f>A196+1</f>
        <v>212</v>
      </c>
      <c r="B197" s="404" t="s">
        <v>636</v>
      </c>
      <c r="C197" s="405" t="s">
        <v>1349</v>
      </c>
      <c r="D197" s="405"/>
      <c r="E197" s="405"/>
      <c r="F197" s="353"/>
      <c r="G197" s="353"/>
      <c r="H197" s="353"/>
      <c r="I197" s="1064"/>
      <c r="J197" s="353"/>
      <c r="K197" s="353"/>
      <c r="L197" s="306"/>
      <c r="N197" s="84"/>
      <c r="O197" s="84"/>
      <c r="P197" s="84"/>
      <c r="Q197" s="84"/>
      <c r="R197" s="84"/>
      <c r="S197" s="84"/>
      <c r="T197" s="84"/>
      <c r="U197" s="84"/>
      <c r="V197" s="84"/>
      <c r="W197" s="84"/>
      <c r="Y197" s="84"/>
      <c r="Z197" s="84"/>
      <c r="AA197" s="84"/>
      <c r="AB197" s="84"/>
      <c r="AC197" s="84"/>
      <c r="AD197" s="84"/>
      <c r="AE197" s="84"/>
      <c r="AF197" s="84"/>
      <c r="AG197" s="84"/>
      <c r="AH197" s="84"/>
      <c r="AI197" s="84"/>
      <c r="AL197" s="84"/>
      <c r="AM197" s="84"/>
      <c r="AN197" s="84"/>
      <c r="AO197" s="84"/>
      <c r="AP197" s="84"/>
      <c r="AQ197" s="84"/>
      <c r="AR197" s="84"/>
      <c r="AS197" s="84"/>
      <c r="AT197" s="84"/>
      <c r="AU197" s="84"/>
      <c r="AV197" s="84"/>
      <c r="AY197" s="84"/>
      <c r="AZ197" s="84"/>
      <c r="BA197" s="84"/>
      <c r="BB197" s="84"/>
      <c r="BC197" s="84"/>
      <c r="BD197" s="84"/>
      <c r="BE197" s="84"/>
      <c r="BF197" s="942"/>
      <c r="BG197" s="942"/>
      <c r="BH197" s="942"/>
      <c r="BI197" s="84"/>
      <c r="BL197" s="84"/>
      <c r="BM197" s="84"/>
      <c r="BN197" s="84"/>
      <c r="BO197" s="84"/>
      <c r="BP197" s="84"/>
      <c r="BQ197" s="84"/>
      <c r="BR197" s="84"/>
      <c r="BS197" s="942"/>
      <c r="BT197" s="942"/>
      <c r="BU197" s="942"/>
      <c r="BV197" s="84"/>
    </row>
    <row r="198" spans="1:74" ht="15.75">
      <c r="A198" s="407">
        <f>A197+1</f>
        <v>213</v>
      </c>
      <c r="B198" s="404" t="s">
        <v>636</v>
      </c>
      <c r="C198" s="405" t="s">
        <v>1350</v>
      </c>
      <c r="D198" s="405"/>
      <c r="E198" s="405"/>
      <c r="F198" s="353"/>
      <c r="G198" s="353"/>
      <c r="H198" s="353"/>
      <c r="I198" s="1109"/>
      <c r="J198" s="353"/>
      <c r="K198" s="353"/>
      <c r="L198" s="306"/>
      <c r="N198" s="84"/>
      <c r="O198" s="84"/>
      <c r="P198" s="84"/>
      <c r="Q198" s="84"/>
      <c r="R198" s="84"/>
      <c r="S198" s="84"/>
      <c r="T198" s="84"/>
      <c r="U198" s="84"/>
      <c r="V198" s="84"/>
      <c r="W198" s="84"/>
      <c r="Y198" s="84"/>
      <c r="Z198" s="84"/>
      <c r="AA198" s="84"/>
      <c r="AB198" s="84"/>
      <c r="AC198" s="84"/>
      <c r="AD198" s="84"/>
      <c r="AE198" s="84"/>
      <c r="AF198" s="84"/>
      <c r="AG198" s="84"/>
      <c r="AH198" s="84"/>
      <c r="AI198" s="84"/>
      <c r="AL198" s="84"/>
      <c r="AM198" s="84"/>
      <c r="AN198" s="84"/>
      <c r="AO198" s="84"/>
      <c r="AP198" s="84"/>
      <c r="AQ198" s="84"/>
      <c r="AR198" s="84"/>
      <c r="AS198" s="84"/>
      <c r="AT198" s="84"/>
      <c r="AU198" s="84"/>
      <c r="AV198" s="84"/>
      <c r="AY198" s="84"/>
      <c r="AZ198" s="84"/>
      <c r="BA198" s="84"/>
      <c r="BB198" s="84"/>
      <c r="BC198" s="84"/>
      <c r="BD198" s="84"/>
      <c r="BE198" s="84"/>
      <c r="BF198" s="942"/>
      <c r="BG198" s="942"/>
      <c r="BH198" s="942"/>
      <c r="BI198" s="84"/>
      <c r="BL198" s="84"/>
      <c r="BM198" s="84"/>
      <c r="BN198" s="84"/>
      <c r="BO198" s="84"/>
      <c r="BP198" s="84"/>
      <c r="BQ198" s="84"/>
      <c r="BR198" s="84"/>
      <c r="BS198" s="942"/>
      <c r="BT198" s="942"/>
      <c r="BU198" s="942"/>
      <c r="BV198" s="84"/>
    </row>
    <row r="199" spans="1:74" ht="15.75">
      <c r="A199" s="407">
        <f>A198+1</f>
        <v>214</v>
      </c>
      <c r="B199" s="404" t="s">
        <v>636</v>
      </c>
      <c r="C199" s="405" t="s">
        <v>238</v>
      </c>
      <c r="D199" s="775"/>
      <c r="E199" s="775"/>
      <c r="F199" s="353"/>
      <c r="G199" s="353"/>
      <c r="H199" s="353"/>
      <c r="I199" s="1110">
        <f>SUM(I194:I198)</f>
        <v>0</v>
      </c>
      <c r="J199" s="353"/>
      <c r="K199" s="353"/>
      <c r="L199" s="335"/>
      <c r="N199" s="84"/>
      <c r="O199" s="84"/>
      <c r="P199" s="84"/>
      <c r="Q199" s="84"/>
      <c r="R199" s="84"/>
      <c r="S199" s="84"/>
      <c r="T199" s="84"/>
      <c r="U199" s="84"/>
      <c r="V199" s="84"/>
      <c r="W199" s="84"/>
      <c r="Y199" s="84"/>
      <c r="Z199" s="84"/>
      <c r="AA199" s="84"/>
      <c r="AB199" s="84"/>
      <c r="AC199" s="84"/>
      <c r="AD199" s="84"/>
      <c r="AE199" s="84"/>
      <c r="AF199" s="84"/>
      <c r="AG199" s="84"/>
      <c r="AH199" s="84"/>
      <c r="AI199" s="84"/>
      <c r="AL199" s="84"/>
      <c r="AM199" s="84"/>
      <c r="AN199" s="84"/>
      <c r="AO199" s="84"/>
      <c r="AP199" s="84"/>
      <c r="AQ199" s="84"/>
      <c r="AR199" s="84"/>
      <c r="AS199" s="84"/>
      <c r="AT199" s="84"/>
      <c r="AU199" s="84"/>
      <c r="AV199" s="84"/>
      <c r="AY199" s="84"/>
      <c r="AZ199" s="84"/>
      <c r="BA199" s="84"/>
      <c r="BB199" s="84"/>
      <c r="BC199" s="84"/>
      <c r="BD199" s="84"/>
      <c r="BE199" s="84"/>
      <c r="BF199" s="942"/>
      <c r="BG199" s="942"/>
      <c r="BH199" s="942"/>
      <c r="BI199" s="84"/>
      <c r="BL199" s="84"/>
      <c r="BM199" s="84"/>
      <c r="BN199" s="84"/>
      <c r="BO199" s="84"/>
      <c r="BP199" s="84"/>
      <c r="BQ199" s="84"/>
      <c r="BR199" s="84"/>
      <c r="BS199" s="942"/>
      <c r="BT199" s="942"/>
      <c r="BU199" s="942"/>
      <c r="BV199" s="84"/>
    </row>
    <row r="200" spans="1:74" ht="15.75">
      <c r="A200" s="407"/>
      <c r="B200" s="404"/>
      <c r="C200" s="405"/>
      <c r="D200" s="775"/>
      <c r="E200" s="775"/>
      <c r="F200" s="353"/>
      <c r="G200" s="353"/>
      <c r="H200" s="926"/>
      <c r="I200" s="1111"/>
      <c r="J200" s="926"/>
      <c r="K200" s="353"/>
      <c r="L200" s="335"/>
      <c r="N200" s="84"/>
      <c r="O200" s="84"/>
      <c r="P200" s="84"/>
      <c r="Q200" s="84"/>
      <c r="R200" s="84"/>
      <c r="S200" s="84"/>
      <c r="T200" s="84"/>
      <c r="U200" s="84"/>
      <c r="V200" s="84"/>
      <c r="W200" s="84"/>
      <c r="Y200" s="84"/>
      <c r="Z200" s="84"/>
      <c r="AA200" s="84"/>
      <c r="AB200" s="84"/>
      <c r="AC200" s="84"/>
      <c r="AD200" s="84"/>
      <c r="AE200" s="84"/>
      <c r="AF200" s="84"/>
      <c r="AG200" s="84"/>
      <c r="AH200" s="84"/>
      <c r="AI200" s="84"/>
      <c r="AL200" s="84"/>
      <c r="AM200" s="84"/>
      <c r="AN200" s="84"/>
      <c r="AO200" s="84"/>
      <c r="AP200" s="84"/>
      <c r="AQ200" s="84"/>
      <c r="AR200" s="84"/>
      <c r="AS200" s="84"/>
      <c r="AT200" s="84"/>
      <c r="AU200" s="84"/>
      <c r="AV200" s="84"/>
      <c r="AY200" s="84"/>
      <c r="AZ200" s="84"/>
      <c r="BA200" s="84"/>
      <c r="BB200" s="84"/>
      <c r="BC200" s="84"/>
      <c r="BD200" s="84"/>
      <c r="BE200" s="84"/>
      <c r="BF200" s="942"/>
      <c r="BG200" s="942"/>
      <c r="BH200" s="942"/>
      <c r="BI200" s="84"/>
      <c r="BL200" s="84"/>
      <c r="BM200" s="84"/>
      <c r="BN200" s="84"/>
      <c r="BO200" s="84"/>
      <c r="BP200" s="84"/>
      <c r="BQ200" s="84"/>
      <c r="BR200" s="84"/>
      <c r="BS200" s="942"/>
      <c r="BT200" s="942"/>
      <c r="BU200" s="942"/>
      <c r="BV200" s="84"/>
    </row>
    <row r="201" spans="1:74" ht="15.75">
      <c r="A201" s="407">
        <f>A199+1</f>
        <v>215</v>
      </c>
      <c r="B201" s="404" t="s">
        <v>636</v>
      </c>
      <c r="C201" s="405" t="s">
        <v>685</v>
      </c>
      <c r="D201" s="405"/>
      <c r="E201" s="405"/>
      <c r="F201" s="353"/>
      <c r="G201" s="353"/>
      <c r="H201" s="353"/>
      <c r="I201" s="1112"/>
      <c r="J201" s="353"/>
      <c r="K201" s="353"/>
      <c r="L201" s="306"/>
      <c r="N201" s="84"/>
      <c r="O201" s="84"/>
      <c r="P201" s="84"/>
      <c r="Q201" s="84"/>
      <c r="R201" s="84"/>
      <c r="S201" s="84"/>
      <c r="T201" s="84"/>
      <c r="U201" s="84"/>
      <c r="V201" s="84"/>
      <c r="W201" s="84"/>
      <c r="Y201" s="84"/>
      <c r="Z201" s="84"/>
      <c r="AA201" s="84"/>
      <c r="AB201" s="84"/>
      <c r="AC201" s="84"/>
      <c r="AD201" s="84"/>
      <c r="AE201" s="84"/>
      <c r="AF201" s="84"/>
      <c r="AG201" s="84"/>
      <c r="AH201" s="84"/>
      <c r="AI201" s="84"/>
      <c r="AL201" s="84"/>
      <c r="AM201" s="84"/>
      <c r="AN201" s="84"/>
      <c r="AO201" s="84"/>
      <c r="AP201" s="84"/>
      <c r="AQ201" s="84"/>
      <c r="AR201" s="84"/>
      <c r="AS201" s="84"/>
      <c r="AT201" s="84"/>
      <c r="AU201" s="84"/>
      <c r="AV201" s="84"/>
      <c r="AY201" s="84"/>
      <c r="AZ201" s="84"/>
      <c r="BA201" s="84"/>
      <c r="BB201" s="84"/>
      <c r="BC201" s="84"/>
      <c r="BD201" s="84"/>
      <c r="BE201" s="84"/>
      <c r="BF201" s="942"/>
      <c r="BG201" s="942"/>
      <c r="BH201" s="942"/>
      <c r="BI201" s="84"/>
      <c r="BL201" s="84"/>
      <c r="BM201" s="84"/>
      <c r="BN201" s="84"/>
      <c r="BO201" s="84"/>
      <c r="BP201" s="84"/>
      <c r="BQ201" s="84"/>
      <c r="BR201" s="84"/>
      <c r="BS201" s="942"/>
      <c r="BT201" s="942"/>
      <c r="BU201" s="942"/>
      <c r="BV201" s="84"/>
    </row>
    <row r="202" spans="1:74" ht="14.25">
      <c r="A202" s="407"/>
      <c r="B202" s="404"/>
      <c r="C202" s="775"/>
      <c r="D202" s="775"/>
      <c r="E202" s="775"/>
      <c r="F202" s="353"/>
      <c r="G202" s="353"/>
      <c r="H202" s="353"/>
      <c r="I202" s="250"/>
      <c r="J202" s="250"/>
      <c r="K202" s="250"/>
      <c r="L202" s="335"/>
      <c r="N202" s="84"/>
      <c r="O202" s="84"/>
      <c r="P202" s="84"/>
      <c r="Q202" s="84"/>
      <c r="R202" s="84"/>
      <c r="S202" s="84"/>
      <c r="T202" s="84"/>
      <c r="U202" s="84"/>
      <c r="V202" s="84"/>
      <c r="W202" s="84"/>
      <c r="Y202" s="84"/>
      <c r="Z202" s="84"/>
      <c r="AA202" s="84"/>
      <c r="AB202" s="84"/>
      <c r="AC202" s="84"/>
      <c r="AD202" s="84"/>
      <c r="AE202" s="84"/>
      <c r="AF202" s="84"/>
      <c r="AG202" s="84"/>
      <c r="AH202" s="84"/>
      <c r="AI202" s="84"/>
      <c r="AL202" s="84"/>
      <c r="AM202" s="84"/>
      <c r="AN202" s="84"/>
      <c r="AO202" s="84"/>
      <c r="AP202" s="84"/>
      <c r="AQ202" s="84"/>
      <c r="AR202" s="84"/>
      <c r="AS202" s="84"/>
      <c r="AT202" s="84"/>
      <c r="AU202" s="84"/>
      <c r="AV202" s="84"/>
      <c r="AY202" s="84"/>
      <c r="AZ202" s="84"/>
      <c r="BA202" s="84"/>
      <c r="BB202" s="84"/>
      <c r="BC202" s="84"/>
      <c r="BD202" s="84"/>
      <c r="BE202" s="84"/>
      <c r="BF202" s="942"/>
      <c r="BG202" s="942"/>
      <c r="BH202" s="942"/>
      <c r="BI202" s="84"/>
      <c r="BL202" s="84"/>
      <c r="BM202" s="84"/>
      <c r="BN202" s="84"/>
      <c r="BO202" s="84"/>
      <c r="BP202" s="84"/>
      <c r="BQ202" s="84"/>
      <c r="BR202" s="84"/>
      <c r="BS202" s="942"/>
      <c r="BT202" s="942"/>
      <c r="BU202" s="942"/>
      <c r="BV202" s="84"/>
    </row>
    <row r="203" spans="1:74" ht="15.75">
      <c r="A203" s="407">
        <f>A201+1</f>
        <v>216</v>
      </c>
      <c r="B203" s="404" t="s">
        <v>636</v>
      </c>
      <c r="C203" s="405" t="s">
        <v>1351</v>
      </c>
      <c r="D203" s="775"/>
      <c r="E203" s="775"/>
      <c r="F203" s="353"/>
      <c r="G203" s="353"/>
      <c r="H203" s="250"/>
      <c r="I203" s="1050">
        <f>I199+I201</f>
        <v>0</v>
      </c>
      <c r="J203" s="250"/>
      <c r="K203" s="250"/>
      <c r="L203" s="335"/>
      <c r="N203" s="84"/>
      <c r="O203" s="84"/>
      <c r="P203" s="84"/>
      <c r="Q203" s="84"/>
      <c r="R203" s="84"/>
      <c r="S203" s="84"/>
      <c r="T203" s="84"/>
      <c r="U203" s="84"/>
      <c r="V203" s="84"/>
      <c r="W203" s="84"/>
      <c r="Y203" s="84"/>
      <c r="Z203" s="84"/>
      <c r="AA203" s="84"/>
      <c r="AB203" s="84"/>
      <c r="AC203" s="84"/>
      <c r="AD203" s="84"/>
      <c r="AE203" s="84"/>
      <c r="AF203" s="84"/>
      <c r="AG203" s="84"/>
      <c r="AH203" s="84"/>
      <c r="AI203" s="84"/>
      <c r="AL203" s="84"/>
      <c r="AM203" s="84"/>
      <c r="AN203" s="84"/>
      <c r="AO203" s="84"/>
      <c r="AP203" s="84"/>
      <c r="AQ203" s="84"/>
      <c r="AR203" s="84"/>
      <c r="AS203" s="84"/>
      <c r="AT203" s="84"/>
      <c r="AU203" s="84"/>
      <c r="AV203" s="84"/>
      <c r="AY203" s="84"/>
      <c r="AZ203" s="84"/>
      <c r="BA203" s="84"/>
      <c r="BB203" s="84"/>
      <c r="BC203" s="84"/>
      <c r="BD203" s="84"/>
      <c r="BE203" s="84"/>
      <c r="BF203" s="942"/>
      <c r="BG203" s="942"/>
      <c r="BH203" s="942"/>
      <c r="BI203" s="84"/>
      <c r="BL203" s="84"/>
      <c r="BM203" s="84"/>
      <c r="BN203" s="84"/>
      <c r="BO203" s="84"/>
      <c r="BP203" s="84"/>
      <c r="BQ203" s="84"/>
      <c r="BR203" s="84"/>
      <c r="BS203" s="942"/>
      <c r="BT203" s="942"/>
      <c r="BU203" s="942"/>
      <c r="BV203" s="84"/>
    </row>
    <row r="204" spans="1:74" ht="14.25">
      <c r="A204" s="387"/>
      <c r="B204" s="222"/>
      <c r="C204" s="250"/>
      <c r="D204" s="250"/>
      <c r="E204" s="250"/>
      <c r="F204" s="250"/>
      <c r="G204" s="250"/>
      <c r="H204" s="250"/>
      <c r="I204" s="250"/>
      <c r="J204" s="250"/>
      <c r="K204" s="250"/>
      <c r="L204" s="335"/>
      <c r="N204" s="84"/>
      <c r="O204" s="84"/>
      <c r="P204" s="84"/>
      <c r="Q204" s="84"/>
      <c r="R204" s="84"/>
      <c r="S204" s="84"/>
      <c r="T204" s="84"/>
      <c r="U204" s="84"/>
      <c r="V204" s="84"/>
      <c r="W204" s="84"/>
      <c r="Y204" s="84"/>
      <c r="Z204" s="84"/>
      <c r="AA204" s="84"/>
      <c r="AB204" s="84"/>
      <c r="AC204" s="84"/>
      <c r="AD204" s="84"/>
      <c r="AE204" s="84"/>
      <c r="AF204" s="84"/>
      <c r="AG204" s="84"/>
      <c r="AH204" s="84"/>
      <c r="AI204" s="84"/>
      <c r="AL204" s="84"/>
      <c r="AM204" s="84"/>
      <c r="AN204" s="84"/>
      <c r="AO204" s="84"/>
      <c r="AP204" s="84"/>
      <c r="AQ204" s="84"/>
      <c r="AR204" s="84"/>
      <c r="AS204" s="84"/>
      <c r="AT204" s="84"/>
      <c r="AU204" s="84"/>
      <c r="AV204" s="84"/>
      <c r="AY204" s="84"/>
      <c r="AZ204" s="84"/>
      <c r="BA204" s="84"/>
      <c r="BB204" s="84"/>
      <c r="BC204" s="84"/>
      <c r="BD204" s="84"/>
      <c r="BE204" s="84"/>
      <c r="BF204" s="942"/>
      <c r="BG204" s="942"/>
      <c r="BH204" s="942"/>
      <c r="BI204" s="84"/>
      <c r="BL204" s="84"/>
      <c r="BM204" s="84"/>
      <c r="BN204" s="84"/>
      <c r="BO204" s="84"/>
      <c r="BP204" s="84"/>
      <c r="BQ204" s="84"/>
      <c r="BR204" s="84"/>
      <c r="BS204" s="942"/>
      <c r="BT204" s="942"/>
      <c r="BU204" s="942"/>
      <c r="BV204" s="84"/>
    </row>
    <row r="205" spans="1:74" ht="15.75">
      <c r="A205" s="388"/>
      <c r="B205" s="311"/>
      <c r="C205" s="389" t="str">
        <f>IF(E167-I199&lt;&gt;0,"Error: The total on line 214 is different from the capitalized reserves shown on line 195.","Check: Line 214 is the same as line 195.")</f>
        <v>Check: Line 214 is the same as line 195.</v>
      </c>
      <c r="D205" s="250"/>
      <c r="E205" s="250"/>
      <c r="F205" s="250"/>
      <c r="G205" s="250"/>
      <c r="H205" s="250"/>
      <c r="I205" s="250"/>
      <c r="J205" s="250"/>
      <c r="K205" s="250"/>
      <c r="L205" s="335"/>
      <c r="N205" s="84"/>
      <c r="O205" s="84"/>
      <c r="P205" s="84"/>
      <c r="Q205" s="84"/>
      <c r="R205" s="84"/>
      <c r="S205" s="84"/>
      <c r="T205" s="84"/>
      <c r="U205" s="84"/>
      <c r="V205" s="84"/>
      <c r="W205" s="84"/>
      <c r="Y205" s="84"/>
      <c r="Z205" s="84"/>
      <c r="AA205" s="84"/>
      <c r="AB205" s="84"/>
      <c r="AC205" s="84"/>
      <c r="AD205" s="84"/>
      <c r="AE205" s="84"/>
      <c r="AF205" s="84"/>
      <c r="AG205" s="84"/>
      <c r="AH205" s="84"/>
      <c r="AI205" s="84"/>
      <c r="AL205" s="84"/>
      <c r="AM205" s="84"/>
      <c r="AN205" s="84"/>
      <c r="AO205" s="84"/>
      <c r="AP205" s="84"/>
      <c r="AQ205" s="84"/>
      <c r="AR205" s="84"/>
      <c r="AS205" s="84"/>
      <c r="AT205" s="84"/>
      <c r="AU205" s="84"/>
      <c r="AV205" s="84"/>
      <c r="AY205" s="84"/>
      <c r="AZ205" s="84"/>
      <c r="BA205" s="84"/>
      <c r="BB205" s="84"/>
      <c r="BC205" s="84"/>
      <c r="BD205" s="84"/>
      <c r="BE205" s="84"/>
      <c r="BF205" s="942"/>
      <c r="BG205" s="942"/>
      <c r="BH205" s="942"/>
      <c r="BI205" s="84"/>
      <c r="BL205" s="84"/>
      <c r="BM205" s="84"/>
      <c r="BN205" s="84"/>
      <c r="BO205" s="84"/>
      <c r="BP205" s="84"/>
      <c r="BQ205" s="84"/>
      <c r="BR205" s="84"/>
      <c r="BS205" s="942"/>
      <c r="BT205" s="942"/>
      <c r="BU205" s="942"/>
      <c r="BV205" s="84"/>
    </row>
    <row r="206" spans="1:74" ht="14.25">
      <c r="A206" s="387"/>
      <c r="B206" s="222"/>
      <c r="C206" s="272"/>
      <c r="D206" s="250"/>
      <c r="E206" s="250"/>
      <c r="F206" s="250"/>
      <c r="G206" s="250"/>
      <c r="H206" s="250"/>
      <c r="I206" s="250"/>
      <c r="J206" s="250"/>
      <c r="K206" s="250"/>
      <c r="L206" s="335"/>
      <c r="N206" s="84"/>
      <c r="O206" s="84"/>
      <c r="P206" s="84"/>
      <c r="Q206" s="84"/>
      <c r="R206" s="84"/>
      <c r="S206" s="84"/>
      <c r="T206" s="84"/>
      <c r="U206" s="84"/>
      <c r="V206" s="84"/>
      <c r="W206" s="84"/>
      <c r="Y206" s="84"/>
      <c r="Z206" s="84"/>
      <c r="AA206" s="84"/>
      <c r="AB206" s="84"/>
      <c r="AC206" s="84"/>
      <c r="AD206" s="84"/>
      <c r="AE206" s="84"/>
      <c r="AF206" s="84"/>
      <c r="AG206" s="84"/>
      <c r="AH206" s="84"/>
      <c r="AI206" s="84"/>
      <c r="AL206" s="84"/>
      <c r="AM206" s="84"/>
      <c r="AN206" s="84"/>
      <c r="AO206" s="84"/>
      <c r="AP206" s="84"/>
      <c r="AQ206" s="84"/>
      <c r="AR206" s="84"/>
      <c r="AS206" s="84"/>
      <c r="AT206" s="84"/>
      <c r="AU206" s="84"/>
      <c r="AV206" s="84"/>
      <c r="AY206" s="84"/>
      <c r="AZ206" s="84"/>
      <c r="BA206" s="84"/>
      <c r="BB206" s="84"/>
      <c r="BC206" s="84"/>
      <c r="BD206" s="84"/>
      <c r="BE206" s="84"/>
      <c r="BF206" s="942"/>
      <c r="BG206" s="942"/>
      <c r="BH206" s="942"/>
      <c r="BI206" s="84"/>
      <c r="BL206" s="84"/>
      <c r="BM206" s="84"/>
      <c r="BN206" s="84"/>
      <c r="BO206" s="84"/>
      <c r="BP206" s="84"/>
      <c r="BQ206" s="84"/>
      <c r="BR206" s="84"/>
      <c r="BS206" s="942"/>
      <c r="BT206" s="942"/>
      <c r="BU206" s="942"/>
      <c r="BV206" s="84"/>
    </row>
    <row r="207" spans="1:74" ht="15">
      <c r="A207" s="390"/>
      <c r="B207" s="391" t="s">
        <v>1196</v>
      </c>
      <c r="C207" s="392"/>
      <c r="D207" s="393"/>
      <c r="E207" s="394" t="s">
        <v>1197</v>
      </c>
      <c r="F207" s="394" t="s">
        <v>553</v>
      </c>
      <c r="G207" s="394" t="s">
        <v>1198</v>
      </c>
      <c r="H207" s="394" t="s">
        <v>554</v>
      </c>
      <c r="I207" s="395" t="s">
        <v>84</v>
      </c>
      <c r="J207" s="396" t="s">
        <v>578</v>
      </c>
      <c r="K207" s="876"/>
      <c r="L207" s="397"/>
      <c r="P207" s="84"/>
      <c r="Q207" s="84"/>
      <c r="R207" s="84"/>
      <c r="S207" s="84"/>
      <c r="T207" s="84"/>
      <c r="U207" s="84"/>
      <c r="V207" s="84"/>
      <c r="W207" s="84"/>
      <c r="Y207" s="84"/>
      <c r="AA207" s="84"/>
      <c r="AB207" s="84"/>
      <c r="AC207" s="84"/>
      <c r="AD207" s="84"/>
      <c r="AE207" s="84"/>
      <c r="AF207" s="84"/>
      <c r="AG207" s="84"/>
      <c r="AH207" s="84"/>
      <c r="AI207" s="84"/>
      <c r="AM207" s="84"/>
      <c r="AN207" s="84"/>
      <c r="AO207" s="84"/>
      <c r="AP207" s="84"/>
      <c r="AQ207" s="84"/>
      <c r="AR207" s="84"/>
      <c r="AS207" s="84"/>
      <c r="AT207" s="84"/>
      <c r="AU207" s="84"/>
      <c r="AV207" s="84"/>
      <c r="AZ207" s="84"/>
      <c r="BA207" s="84"/>
      <c r="BB207" s="84"/>
      <c r="BC207" s="84"/>
      <c r="BD207" s="84"/>
      <c r="BE207" s="84"/>
      <c r="BF207" s="942"/>
      <c r="BG207" s="942"/>
      <c r="BH207" s="942"/>
      <c r="BI207" s="84"/>
      <c r="BM207" s="84"/>
      <c r="BN207" s="84"/>
      <c r="BO207" s="84"/>
      <c r="BP207" s="84"/>
      <c r="BQ207" s="84"/>
      <c r="BR207" s="84"/>
      <c r="BS207" s="942"/>
      <c r="BT207" s="942"/>
      <c r="BU207" s="942"/>
      <c r="BV207" s="84"/>
    </row>
    <row r="208" spans="1:74" ht="15">
      <c r="A208" s="398"/>
      <c r="B208" s="399" t="s">
        <v>696</v>
      </c>
      <c r="C208" s="392"/>
      <c r="D208" s="393"/>
      <c r="E208" s="265"/>
      <c r="F208" s="265"/>
      <c r="G208" s="918"/>
      <c r="H208" s="265"/>
      <c r="I208" s="265"/>
      <c r="J208" s="266"/>
      <c r="K208" s="877"/>
      <c r="L208" s="397"/>
      <c r="P208" s="84"/>
      <c r="Q208" s="84"/>
      <c r="R208" s="84"/>
      <c r="S208" s="84"/>
      <c r="T208" s="84"/>
      <c r="U208" s="84"/>
      <c r="V208" s="84"/>
      <c r="W208" s="84"/>
      <c r="Y208" s="84"/>
      <c r="AA208" s="84"/>
      <c r="AB208" s="84"/>
      <c r="AC208" s="84"/>
      <c r="AD208" s="84"/>
      <c r="AE208" s="84"/>
      <c r="AF208" s="84"/>
      <c r="AG208" s="84"/>
      <c r="AH208" s="84"/>
      <c r="AI208" s="84"/>
      <c r="AM208" s="84"/>
      <c r="AN208" s="84"/>
      <c r="AO208" s="84"/>
      <c r="AP208" s="84"/>
      <c r="AQ208" s="84"/>
      <c r="AR208" s="84"/>
      <c r="AS208" s="84"/>
      <c r="AT208" s="84"/>
      <c r="AU208" s="84"/>
      <c r="AV208" s="84"/>
      <c r="AZ208" s="84"/>
      <c r="BA208" s="84"/>
      <c r="BB208" s="84"/>
      <c r="BC208" s="84"/>
      <c r="BD208" s="84"/>
      <c r="BE208" s="84"/>
      <c r="BF208" s="942"/>
      <c r="BG208" s="942"/>
      <c r="BH208" s="942"/>
      <c r="BI208" s="84"/>
      <c r="BM208" s="84"/>
      <c r="BN208" s="84"/>
      <c r="BO208" s="84"/>
      <c r="BP208" s="84"/>
      <c r="BQ208" s="84"/>
      <c r="BR208" s="84"/>
      <c r="BS208" s="942"/>
      <c r="BT208" s="942"/>
      <c r="BU208" s="942"/>
      <c r="BV208" s="84"/>
    </row>
    <row r="209" spans="1:74" s="400" customFormat="1" ht="14.25">
      <c r="A209" s="398"/>
      <c r="B209" s="399" t="s">
        <v>695</v>
      </c>
      <c r="C209" s="393"/>
      <c r="D209" s="393"/>
      <c r="E209" s="265"/>
      <c r="F209" s="265"/>
      <c r="G209" s="918"/>
      <c r="H209" s="265"/>
      <c r="I209" s="265"/>
      <c r="J209" s="266"/>
      <c r="K209" s="877"/>
      <c r="L209" s="397"/>
      <c r="M209" s="103"/>
      <c r="P209" s="84"/>
      <c r="Q209" s="84"/>
      <c r="R209" s="84"/>
      <c r="S209" s="84"/>
      <c r="T209" s="84"/>
      <c r="U209" s="84"/>
      <c r="V209" s="84"/>
      <c r="W209" s="84"/>
      <c r="Y209" s="84"/>
      <c r="AA209" s="84"/>
      <c r="AB209" s="84"/>
      <c r="AC209" s="84"/>
      <c r="AD209" s="84"/>
      <c r="AE209" s="84"/>
      <c r="AF209" s="84"/>
      <c r="AG209" s="84"/>
      <c r="AH209" s="84"/>
      <c r="AI209" s="84"/>
      <c r="AM209" s="84"/>
      <c r="AN209" s="84"/>
      <c r="AO209" s="84"/>
      <c r="AP209" s="84"/>
      <c r="AQ209" s="84"/>
      <c r="AR209" s="84"/>
      <c r="AS209" s="84"/>
      <c r="AT209" s="84"/>
      <c r="AU209" s="84"/>
      <c r="AV209" s="84"/>
      <c r="AZ209" s="84"/>
      <c r="BA209" s="84"/>
      <c r="BB209" s="84"/>
      <c r="BC209" s="84"/>
      <c r="BD209" s="84"/>
      <c r="BE209" s="84"/>
      <c r="BF209" s="942"/>
      <c r="BG209" s="942"/>
      <c r="BH209" s="942"/>
      <c r="BI209" s="84"/>
      <c r="BM209" s="84"/>
      <c r="BN209" s="84"/>
      <c r="BO209" s="84"/>
      <c r="BP209" s="84"/>
      <c r="BQ209" s="84"/>
      <c r="BR209" s="84"/>
      <c r="BS209" s="942"/>
      <c r="BT209" s="942"/>
      <c r="BU209" s="942"/>
      <c r="BV209" s="84"/>
    </row>
    <row r="210" spans="1:74" s="400" customFormat="1" ht="14.25">
      <c r="A210" s="398"/>
      <c r="B210" s="401" t="s">
        <v>694</v>
      </c>
      <c r="C210" s="393"/>
      <c r="D210" s="393"/>
      <c r="E210" s="265"/>
      <c r="F210" s="919"/>
      <c r="G210" s="920"/>
      <c r="H210" s="919"/>
      <c r="I210" s="919"/>
      <c r="J210" s="268"/>
      <c r="K210" s="877"/>
      <c r="L210" s="397"/>
      <c r="M210" s="103"/>
      <c r="N210" s="402"/>
      <c r="O210" s="402"/>
      <c r="P210" s="84"/>
      <c r="Q210" s="84"/>
      <c r="R210" s="84"/>
      <c r="S210" s="84"/>
      <c r="T210" s="84"/>
      <c r="U210" s="84"/>
      <c r="V210" s="84"/>
      <c r="W210" s="84"/>
      <c r="Y210" s="84"/>
      <c r="Z210" s="402"/>
      <c r="AA210" s="84"/>
      <c r="AB210" s="84"/>
      <c r="AC210" s="84"/>
      <c r="AD210" s="84"/>
      <c r="AE210" s="84"/>
      <c r="AF210" s="84"/>
      <c r="AG210" s="84"/>
      <c r="AH210" s="84"/>
      <c r="AI210" s="84"/>
      <c r="AL210" s="402"/>
      <c r="AM210" s="84"/>
      <c r="AN210" s="84"/>
      <c r="AO210" s="84"/>
      <c r="AP210" s="84"/>
      <c r="AQ210" s="84"/>
      <c r="AR210" s="84"/>
      <c r="AS210" s="84"/>
      <c r="AT210" s="84"/>
      <c r="AU210" s="84"/>
      <c r="AV210" s="84"/>
      <c r="AY210" s="402"/>
      <c r="AZ210" s="84"/>
      <c r="BA210" s="84"/>
      <c r="BB210" s="84"/>
      <c r="BC210" s="84"/>
      <c r="BD210" s="84"/>
      <c r="BE210" s="84"/>
      <c r="BF210" s="942"/>
      <c r="BG210" s="942"/>
      <c r="BH210" s="942"/>
      <c r="BI210" s="84"/>
      <c r="BL210" s="402"/>
      <c r="BM210" s="84"/>
      <c r="BN210" s="84"/>
      <c r="BO210" s="84"/>
      <c r="BP210" s="84"/>
      <c r="BQ210" s="84"/>
      <c r="BR210" s="84"/>
      <c r="BS210" s="942"/>
      <c r="BT210" s="942"/>
      <c r="BU210" s="942"/>
      <c r="BV210" s="84"/>
    </row>
    <row r="211" spans="1:74" s="275" customFormat="1" ht="14.25">
      <c r="A211" s="398"/>
      <c r="B211" s="1310" t="s">
        <v>697</v>
      </c>
      <c r="C211" s="1311"/>
      <c r="D211" s="1312"/>
      <c r="E211" s="267"/>
      <c r="F211" s="268"/>
      <c r="G211" s="921"/>
      <c r="H211" s="919"/>
      <c r="I211" s="919"/>
      <c r="J211" s="268"/>
      <c r="K211" s="877"/>
      <c r="L211" s="397"/>
      <c r="M211" s="103"/>
      <c r="P211" s="84"/>
      <c r="Q211" s="84"/>
      <c r="R211" s="84"/>
      <c r="S211" s="84"/>
      <c r="T211" s="84"/>
      <c r="U211" s="84"/>
      <c r="V211" s="84"/>
      <c r="W211" s="84"/>
      <c r="Y211" s="84"/>
      <c r="AA211" s="84"/>
      <c r="AB211" s="84"/>
      <c r="AC211" s="84"/>
      <c r="AD211" s="84"/>
      <c r="AE211" s="84"/>
      <c r="AF211" s="84"/>
      <c r="AG211" s="84"/>
      <c r="AH211" s="84"/>
      <c r="AI211" s="84"/>
      <c r="AM211" s="84"/>
      <c r="AN211" s="84"/>
      <c r="AO211" s="84"/>
      <c r="AP211" s="84"/>
      <c r="AQ211" s="84"/>
      <c r="AR211" s="84"/>
      <c r="AS211" s="84"/>
      <c r="AT211" s="84"/>
      <c r="AU211" s="84"/>
      <c r="AV211" s="84"/>
      <c r="AZ211" s="84"/>
      <c r="BA211" s="84"/>
      <c r="BB211" s="84"/>
      <c r="BC211" s="84"/>
      <c r="BD211" s="84"/>
      <c r="BE211" s="84"/>
      <c r="BF211" s="942"/>
      <c r="BG211" s="942"/>
      <c r="BH211" s="942"/>
      <c r="BI211" s="84"/>
      <c r="BM211" s="84"/>
      <c r="BN211" s="84"/>
      <c r="BO211" s="84"/>
      <c r="BP211" s="84"/>
      <c r="BQ211" s="84"/>
      <c r="BR211" s="84"/>
      <c r="BS211" s="942"/>
      <c r="BT211" s="942"/>
      <c r="BU211" s="942"/>
      <c r="BV211" s="84"/>
    </row>
    <row r="212" spans="1:74" s="275" customFormat="1" ht="14.25">
      <c r="A212" s="398"/>
      <c r="B212" s="1313"/>
      <c r="C212" s="1314"/>
      <c r="D212" s="1315"/>
      <c r="E212" s="269"/>
      <c r="F212" s="271"/>
      <c r="G212" s="922"/>
      <c r="H212" s="270"/>
      <c r="I212" s="270"/>
      <c r="J212" s="271"/>
      <c r="K212" s="877"/>
      <c r="L212" s="397"/>
      <c r="M212" s="103"/>
      <c r="P212" s="84"/>
      <c r="Q212" s="84"/>
      <c r="R212" s="84"/>
      <c r="S212" s="84"/>
      <c r="T212" s="84"/>
      <c r="U212" s="84"/>
      <c r="V212" s="84"/>
      <c r="W212" s="84"/>
      <c r="Y212" s="84"/>
      <c r="AA212" s="84"/>
      <c r="AB212" s="84"/>
      <c r="AC212" s="84"/>
      <c r="AD212" s="84"/>
      <c r="AE212" s="84"/>
      <c r="AF212" s="84"/>
      <c r="AG212" s="84"/>
      <c r="AH212" s="84"/>
      <c r="AI212" s="84"/>
      <c r="AM212" s="84"/>
      <c r="AN212" s="84"/>
      <c r="AO212" s="84"/>
      <c r="AP212" s="84"/>
      <c r="AQ212" s="84"/>
      <c r="AR212" s="84"/>
      <c r="AS212" s="84"/>
      <c r="AT212" s="84"/>
      <c r="AU212" s="84"/>
      <c r="AV212" s="84"/>
      <c r="AZ212" s="84"/>
      <c r="BA212" s="84"/>
      <c r="BB212" s="84"/>
      <c r="BC212" s="84"/>
      <c r="BD212" s="84"/>
      <c r="BE212" s="84"/>
      <c r="BF212" s="942"/>
      <c r="BG212" s="942"/>
      <c r="BH212" s="942"/>
      <c r="BI212" s="84"/>
      <c r="BM212" s="84"/>
      <c r="BN212" s="84"/>
      <c r="BO212" s="84"/>
      <c r="BP212" s="84"/>
      <c r="BQ212" s="84"/>
      <c r="BR212" s="84"/>
      <c r="BS212" s="942"/>
      <c r="BT212" s="942"/>
      <c r="BU212" s="942"/>
      <c r="BV212" s="84"/>
    </row>
    <row r="213" spans="1:74" ht="15.75">
      <c r="A213" s="390"/>
      <c r="B213" s="404"/>
      <c r="C213" s="405"/>
      <c r="D213" s="405"/>
      <c r="E213" s="405"/>
      <c r="F213" s="405"/>
      <c r="G213" s="405"/>
      <c r="H213" s="405"/>
      <c r="I213" s="405"/>
      <c r="J213" s="405"/>
      <c r="K213" s="405"/>
      <c r="L213" s="406"/>
      <c r="N213" s="84"/>
      <c r="O213" s="84"/>
      <c r="P213" s="84"/>
      <c r="Q213" s="84"/>
      <c r="R213" s="84"/>
      <c r="S213" s="84"/>
      <c r="T213" s="84"/>
      <c r="U213" s="84"/>
      <c r="V213" s="84"/>
      <c r="W213" s="84"/>
      <c r="Y213" s="84"/>
      <c r="Z213" s="84"/>
      <c r="AA213" s="84"/>
      <c r="AB213" s="84"/>
      <c r="AC213" s="84"/>
      <c r="AD213" s="84"/>
      <c r="AE213" s="84"/>
      <c r="AF213" s="84"/>
      <c r="AG213" s="84"/>
      <c r="AH213" s="84"/>
      <c r="AI213" s="84"/>
      <c r="AL213" s="84"/>
      <c r="AM213" s="84"/>
      <c r="AN213" s="84"/>
      <c r="AO213" s="84"/>
      <c r="AP213" s="84"/>
      <c r="AQ213" s="84"/>
      <c r="AR213" s="84"/>
      <c r="AS213" s="84"/>
      <c r="AT213" s="84"/>
      <c r="AU213" s="84"/>
      <c r="AV213" s="84"/>
      <c r="AY213" s="84"/>
      <c r="AZ213" s="84"/>
      <c r="BA213" s="84"/>
      <c r="BB213" s="84"/>
      <c r="BC213" s="84"/>
      <c r="BD213" s="84"/>
      <c r="BE213" s="84"/>
      <c r="BF213" s="942"/>
      <c r="BG213" s="942"/>
      <c r="BH213" s="942"/>
      <c r="BI213" s="84"/>
      <c r="BL213" s="84"/>
      <c r="BM213" s="84"/>
      <c r="BN213" s="84"/>
      <c r="BO213" s="84"/>
      <c r="BP213" s="84"/>
      <c r="BQ213" s="84"/>
      <c r="BR213" s="84"/>
      <c r="BS213" s="942"/>
      <c r="BT213" s="942"/>
      <c r="BU213" s="942"/>
      <c r="BV213" s="84"/>
    </row>
    <row r="214" spans="1:74" ht="15.75">
      <c r="A214" s="390"/>
      <c r="B214" s="404"/>
      <c r="C214" s="405"/>
      <c r="D214" s="405"/>
      <c r="E214" s="405"/>
      <c r="F214" s="405"/>
      <c r="G214" s="405"/>
      <c r="H214" s="405"/>
      <c r="I214" s="405"/>
      <c r="J214" s="405"/>
      <c r="K214" s="405"/>
      <c r="L214" s="406"/>
      <c r="N214" s="84"/>
      <c r="O214" s="84"/>
      <c r="P214" s="84"/>
      <c r="Q214" s="84"/>
      <c r="R214" s="84"/>
      <c r="S214" s="84"/>
      <c r="T214" s="84"/>
      <c r="U214" s="84"/>
      <c r="V214" s="84"/>
      <c r="W214" s="84"/>
      <c r="Y214" s="84"/>
      <c r="Z214" s="84"/>
      <c r="AA214" s="84"/>
      <c r="AB214" s="84"/>
      <c r="AC214" s="84"/>
      <c r="AD214" s="84"/>
      <c r="AE214" s="84"/>
      <c r="AF214" s="84"/>
      <c r="AG214" s="84"/>
      <c r="AH214" s="84"/>
      <c r="AI214" s="84"/>
      <c r="AL214" s="84"/>
      <c r="AM214" s="84"/>
      <c r="AN214" s="84"/>
      <c r="AO214" s="84"/>
      <c r="AP214" s="84"/>
      <c r="AQ214" s="84"/>
      <c r="AR214" s="84"/>
      <c r="AS214" s="84"/>
      <c r="AT214" s="84"/>
      <c r="AU214" s="84"/>
      <c r="AV214" s="84"/>
      <c r="AY214" s="84"/>
      <c r="AZ214" s="84"/>
      <c r="BA214" s="84"/>
      <c r="BB214" s="84"/>
      <c r="BC214" s="84"/>
      <c r="BD214" s="84"/>
      <c r="BE214" s="84"/>
      <c r="BF214" s="942"/>
      <c r="BG214" s="942"/>
      <c r="BH214" s="942"/>
      <c r="BI214" s="84"/>
      <c r="BL214" s="84"/>
      <c r="BM214" s="84"/>
      <c r="BN214" s="84"/>
      <c r="BO214" s="84"/>
      <c r="BP214" s="84"/>
      <c r="BQ214" s="84"/>
      <c r="BR214" s="84"/>
      <c r="BS214" s="942"/>
      <c r="BT214" s="942"/>
      <c r="BU214" s="942"/>
      <c r="BV214" s="84"/>
    </row>
    <row r="215" spans="1:74" ht="15.75">
      <c r="A215" s="407"/>
      <c r="B215" s="404"/>
      <c r="C215" s="405"/>
      <c r="D215" s="405"/>
      <c r="E215" s="405"/>
      <c r="F215" s="405"/>
      <c r="G215" s="405"/>
      <c r="H215" s="405"/>
      <c r="I215" s="405"/>
      <c r="J215" s="405"/>
      <c r="K215" s="405"/>
      <c r="L215" s="406"/>
      <c r="N215" s="84"/>
      <c r="O215" s="84"/>
      <c r="P215" s="84"/>
      <c r="Q215" s="84"/>
      <c r="R215" s="84"/>
      <c r="S215" s="84"/>
      <c r="T215" s="84"/>
      <c r="U215" s="84"/>
      <c r="V215" s="84"/>
      <c r="W215" s="84"/>
      <c r="Y215" s="84"/>
      <c r="Z215" s="84"/>
      <c r="AA215" s="84"/>
      <c r="AB215" s="84"/>
      <c r="AC215" s="84"/>
      <c r="AD215" s="84"/>
      <c r="AE215" s="84"/>
      <c r="AF215" s="84"/>
      <c r="AG215" s="84"/>
      <c r="AH215" s="84"/>
      <c r="AI215" s="84"/>
      <c r="AL215" s="84"/>
      <c r="AM215" s="84"/>
      <c r="AN215" s="84"/>
      <c r="AO215" s="84"/>
      <c r="AP215" s="84"/>
      <c r="AQ215" s="84"/>
      <c r="AR215" s="84"/>
      <c r="AS215" s="84"/>
      <c r="AT215" s="84"/>
      <c r="AU215" s="84"/>
      <c r="AV215" s="84"/>
      <c r="AY215" s="84"/>
      <c r="AZ215" s="84"/>
      <c r="BA215" s="84"/>
      <c r="BB215" s="84"/>
      <c r="BC215" s="84"/>
      <c r="BD215" s="84"/>
      <c r="BE215" s="84"/>
      <c r="BF215" s="942"/>
      <c r="BG215" s="942"/>
      <c r="BH215" s="942"/>
      <c r="BI215" s="84"/>
      <c r="BL215" s="84"/>
      <c r="BM215" s="84"/>
      <c r="BN215" s="84"/>
      <c r="BO215" s="84"/>
      <c r="BP215" s="84"/>
      <c r="BQ215" s="84"/>
      <c r="BR215" s="84"/>
      <c r="BS215" s="942"/>
      <c r="BT215" s="942"/>
      <c r="BU215" s="942"/>
      <c r="BV215" s="84"/>
    </row>
    <row r="216" spans="1:74" ht="15.75">
      <c r="A216" s="310"/>
      <c r="B216" s="311"/>
      <c r="C216" s="408"/>
      <c r="D216" s="408"/>
      <c r="E216" s="408"/>
      <c r="F216" s="408"/>
      <c r="G216" s="408"/>
      <c r="H216" s="409"/>
      <c r="I216" s="408"/>
      <c r="J216" s="304"/>
      <c r="K216" s="304"/>
      <c r="L216" s="306"/>
      <c r="N216" s="84"/>
      <c r="O216" s="84"/>
      <c r="P216" s="84"/>
      <c r="Q216" s="84"/>
      <c r="R216" s="84"/>
      <c r="S216" s="84"/>
      <c r="T216" s="84"/>
      <c r="U216" s="84"/>
      <c r="V216" s="84"/>
      <c r="W216" s="84"/>
      <c r="Y216" s="84"/>
      <c r="Z216" s="84"/>
      <c r="AA216" s="84"/>
      <c r="AB216" s="84"/>
      <c r="AC216" s="84"/>
      <c r="AD216" s="84"/>
      <c r="AE216" s="84"/>
      <c r="AF216" s="84"/>
      <c r="AG216" s="84"/>
      <c r="AH216" s="84"/>
      <c r="AI216" s="84"/>
      <c r="AL216" s="84"/>
      <c r="AM216" s="84"/>
      <c r="AN216" s="84"/>
      <c r="AO216" s="84"/>
      <c r="AP216" s="84"/>
      <c r="AQ216" s="84"/>
      <c r="AR216" s="84"/>
      <c r="AS216" s="84"/>
      <c r="AT216" s="84"/>
      <c r="AU216" s="84"/>
      <c r="AV216" s="84"/>
      <c r="AY216" s="84"/>
      <c r="AZ216" s="84"/>
      <c r="BA216" s="84"/>
      <c r="BB216" s="84"/>
      <c r="BC216" s="84"/>
      <c r="BD216" s="84"/>
      <c r="BE216" s="84"/>
      <c r="BF216" s="942"/>
      <c r="BG216" s="942"/>
      <c r="BH216" s="942"/>
      <c r="BI216" s="84"/>
      <c r="BL216" s="84"/>
      <c r="BM216" s="84"/>
      <c r="BN216" s="84"/>
      <c r="BO216" s="84"/>
      <c r="BP216" s="84"/>
      <c r="BQ216" s="84"/>
      <c r="BR216" s="84"/>
      <c r="BS216" s="942"/>
      <c r="BT216" s="942"/>
      <c r="BU216" s="942"/>
      <c r="BV216" s="84"/>
    </row>
    <row r="217" spans="1:74" ht="15.75">
      <c r="A217" s="302"/>
      <c r="B217" s="222"/>
      <c r="C217" s="303" t="s">
        <v>1352</v>
      </c>
      <c r="D217" s="304"/>
      <c r="E217" s="304"/>
      <c r="F217" s="304"/>
      <c r="G217" s="329"/>
      <c r="H217" s="273"/>
      <c r="I217" s="304"/>
      <c r="J217" s="304"/>
      <c r="K217" s="304"/>
      <c r="L217" s="306"/>
      <c r="N217" s="84"/>
      <c r="O217" s="84"/>
      <c r="P217" s="84"/>
      <c r="Q217" s="84"/>
      <c r="R217" s="84"/>
      <c r="S217" s="84"/>
      <c r="T217" s="84"/>
      <c r="U217" s="84"/>
      <c r="V217" s="84"/>
      <c r="W217" s="84"/>
      <c r="Y217" s="84"/>
      <c r="Z217" s="84"/>
      <c r="AA217" s="84"/>
      <c r="AB217" s="84"/>
      <c r="AC217" s="84"/>
      <c r="AD217" s="84"/>
      <c r="AE217" s="84"/>
      <c r="AF217" s="84"/>
      <c r="AG217" s="84"/>
      <c r="AH217" s="84"/>
      <c r="AI217" s="84"/>
      <c r="AL217" s="84"/>
      <c r="AM217" s="84"/>
      <c r="AN217" s="84"/>
      <c r="AO217" s="84"/>
      <c r="AP217" s="84"/>
      <c r="AQ217" s="84"/>
      <c r="AR217" s="84"/>
      <c r="AS217" s="84"/>
      <c r="AT217" s="84"/>
      <c r="AU217" s="84"/>
      <c r="AV217" s="84"/>
      <c r="AY217" s="84"/>
      <c r="AZ217" s="84"/>
      <c r="BA217" s="84"/>
      <c r="BB217" s="84"/>
      <c r="BC217" s="84"/>
      <c r="BD217" s="84"/>
      <c r="BE217" s="84"/>
      <c r="BF217" s="942"/>
      <c r="BG217" s="942"/>
      <c r="BH217" s="942"/>
      <c r="BI217" s="84"/>
      <c r="BL217" s="84"/>
      <c r="BM217" s="84"/>
      <c r="BN217" s="84"/>
      <c r="BO217" s="84"/>
      <c r="BP217" s="84"/>
      <c r="BQ217" s="84"/>
      <c r="BR217" s="84"/>
      <c r="BS217" s="942"/>
      <c r="BT217" s="942"/>
      <c r="BU217" s="942"/>
      <c r="BV217" s="84"/>
    </row>
    <row r="218" spans="1:74" ht="15.75">
      <c r="A218" s="310">
        <f>A203+1</f>
        <v>217</v>
      </c>
      <c r="B218" s="311" t="s">
        <v>636</v>
      </c>
      <c r="C218" s="1053" t="s">
        <v>690</v>
      </c>
      <c r="D218" s="778"/>
      <c r="E218" s="778"/>
      <c r="F218" s="778"/>
      <c r="G218" s="778"/>
      <c r="H218" s="778"/>
      <c r="I218" s="751" t="s">
        <v>791</v>
      </c>
      <c r="J218" s="304"/>
      <c r="K218" s="304"/>
      <c r="L218" s="306"/>
      <c r="N218" s="84"/>
      <c r="O218" s="84"/>
      <c r="P218" s="84"/>
      <c r="Q218" s="84"/>
      <c r="R218" s="84"/>
      <c r="S218" s="84"/>
      <c r="T218" s="84"/>
      <c r="U218" s="84"/>
      <c r="V218" s="84"/>
      <c r="W218" s="84"/>
      <c r="Y218" s="84"/>
      <c r="Z218" s="84"/>
      <c r="AA218" s="84"/>
      <c r="AB218" s="84"/>
      <c r="AC218" s="84"/>
      <c r="AD218" s="84"/>
      <c r="AE218" s="84"/>
      <c r="AF218" s="84"/>
      <c r="AG218" s="84"/>
      <c r="AH218" s="84"/>
      <c r="AI218" s="84"/>
      <c r="AL218" s="84"/>
      <c r="AM218" s="84"/>
      <c r="AN218" s="84"/>
      <c r="AO218" s="84"/>
      <c r="AP218" s="84"/>
      <c r="AQ218" s="84"/>
      <c r="AR218" s="84"/>
      <c r="AS218" s="84"/>
      <c r="AT218" s="84"/>
      <c r="AU218" s="84"/>
      <c r="AV218" s="84"/>
      <c r="AY218" s="84"/>
      <c r="AZ218" s="84"/>
      <c r="BA218" s="84"/>
      <c r="BB218" s="84"/>
      <c r="BC218" s="84"/>
      <c r="BD218" s="84"/>
      <c r="BE218" s="84"/>
      <c r="BF218" s="942"/>
      <c r="BG218" s="942"/>
      <c r="BH218" s="942"/>
      <c r="BI218" s="84"/>
      <c r="BL218" s="84"/>
      <c r="BM218" s="84"/>
      <c r="BN218" s="84"/>
      <c r="BO218" s="84"/>
      <c r="BP218" s="84"/>
      <c r="BQ218" s="84"/>
      <c r="BR218" s="84"/>
      <c r="BS218" s="942"/>
      <c r="BT218" s="942"/>
      <c r="BU218" s="942"/>
      <c r="BV218" s="84"/>
    </row>
    <row r="219" spans="1:74" ht="15.75">
      <c r="A219" s="310">
        <f>A218+1</f>
        <v>218</v>
      </c>
      <c r="B219" s="311" t="s">
        <v>636</v>
      </c>
      <c r="C219" s="1053" t="s">
        <v>691</v>
      </c>
      <c r="D219" s="778"/>
      <c r="E219" s="778"/>
      <c r="F219" s="778"/>
      <c r="G219" s="778"/>
      <c r="H219" s="778"/>
      <c r="I219" s="751" t="s">
        <v>791</v>
      </c>
      <c r="J219" s="304"/>
      <c r="K219" s="304"/>
      <c r="L219" s="306"/>
      <c r="N219" s="84"/>
      <c r="O219" s="84"/>
      <c r="P219" s="84"/>
      <c r="Q219" s="84"/>
      <c r="R219" s="84"/>
      <c r="S219" s="84"/>
      <c r="T219" s="84"/>
      <c r="U219" s="84"/>
      <c r="V219" s="84"/>
      <c r="W219" s="84"/>
      <c r="Y219" s="84"/>
      <c r="Z219" s="84"/>
      <c r="AA219" s="84"/>
      <c r="AB219" s="84"/>
      <c r="AC219" s="84"/>
      <c r="AD219" s="84"/>
      <c r="AE219" s="84"/>
      <c r="AF219" s="84"/>
      <c r="AG219" s="84"/>
      <c r="AH219" s="84"/>
      <c r="AI219" s="84"/>
      <c r="AL219" s="84"/>
      <c r="AM219" s="84"/>
      <c r="AN219" s="84"/>
      <c r="AO219" s="84"/>
      <c r="AP219" s="84"/>
      <c r="AQ219" s="84"/>
      <c r="AR219" s="84"/>
      <c r="AS219" s="84"/>
      <c r="AT219" s="84"/>
      <c r="AU219" s="84"/>
      <c r="AV219" s="84"/>
      <c r="AY219" s="84"/>
      <c r="AZ219" s="84"/>
      <c r="BA219" s="84"/>
      <c r="BB219" s="84"/>
      <c r="BC219" s="84"/>
      <c r="BD219" s="84"/>
      <c r="BE219" s="84"/>
      <c r="BF219" s="942"/>
      <c r="BG219" s="942"/>
      <c r="BH219" s="942"/>
      <c r="BI219" s="84"/>
      <c r="BL219" s="84"/>
      <c r="BM219" s="84"/>
      <c r="BN219" s="84"/>
      <c r="BO219" s="84"/>
      <c r="BP219" s="84"/>
      <c r="BQ219" s="84"/>
      <c r="BR219" s="84"/>
      <c r="BS219" s="942"/>
      <c r="BT219" s="942"/>
      <c r="BU219" s="942"/>
      <c r="BV219" s="84"/>
    </row>
    <row r="220" spans="1:74" ht="15.75">
      <c r="A220" s="310">
        <f>A219+1</f>
        <v>219</v>
      </c>
      <c r="B220" s="311" t="s">
        <v>636</v>
      </c>
      <c r="C220" s="1053" t="s">
        <v>692</v>
      </c>
      <c r="D220" s="778"/>
      <c r="E220" s="778"/>
      <c r="F220" s="778"/>
      <c r="G220" s="778"/>
      <c r="H220" s="778"/>
      <c r="I220" s="755">
        <f>I218-I219</f>
        <v>0</v>
      </c>
      <c r="J220" s="304"/>
      <c r="K220" s="304"/>
      <c r="L220" s="306"/>
      <c r="N220" s="84"/>
      <c r="O220" s="84"/>
      <c r="P220" s="84"/>
      <c r="Q220" s="84"/>
      <c r="R220" s="84"/>
      <c r="S220" s="84"/>
      <c r="T220" s="84"/>
      <c r="U220" s="84"/>
      <c r="V220" s="84"/>
      <c r="W220" s="84"/>
      <c r="Y220" s="84"/>
      <c r="Z220" s="84"/>
      <c r="AA220" s="84"/>
      <c r="AB220" s="84"/>
      <c r="AC220" s="84"/>
      <c r="AD220" s="84"/>
      <c r="AE220" s="84"/>
      <c r="AF220" s="84"/>
      <c r="AG220" s="84"/>
      <c r="AH220" s="84"/>
      <c r="AI220" s="84"/>
      <c r="AL220" s="84"/>
      <c r="AM220" s="84"/>
      <c r="AN220" s="84"/>
      <c r="AO220" s="84"/>
      <c r="AP220" s="84"/>
      <c r="AQ220" s="84"/>
      <c r="AR220" s="84"/>
      <c r="AS220" s="84"/>
      <c r="AT220" s="84"/>
      <c r="AU220" s="84"/>
      <c r="AV220" s="84"/>
      <c r="AY220" s="84"/>
      <c r="AZ220" s="84"/>
      <c r="BA220" s="84"/>
      <c r="BB220" s="84"/>
      <c r="BC220" s="84"/>
      <c r="BD220" s="84"/>
      <c r="BE220" s="84"/>
      <c r="BF220" s="942"/>
      <c r="BG220" s="942"/>
      <c r="BH220" s="942"/>
      <c r="BI220" s="84"/>
      <c r="BL220" s="84"/>
      <c r="BM220" s="84"/>
      <c r="BN220" s="84"/>
      <c r="BO220" s="84"/>
      <c r="BP220" s="84"/>
      <c r="BQ220" s="84"/>
      <c r="BR220" s="84"/>
      <c r="BS220" s="942"/>
      <c r="BT220" s="942"/>
      <c r="BU220" s="942"/>
      <c r="BV220" s="84"/>
    </row>
    <row r="221" spans="1:74" ht="15.75">
      <c r="A221" s="310"/>
      <c r="B221" s="311"/>
      <c r="C221" s="405"/>
      <c r="D221" s="304"/>
      <c r="E221" s="304"/>
      <c r="F221" s="304"/>
      <c r="G221" s="405"/>
      <c r="H221" s="273"/>
      <c r="I221" s="304"/>
      <c r="J221" s="304"/>
      <c r="K221" s="304"/>
      <c r="L221" s="306"/>
      <c r="N221" s="84"/>
      <c r="O221" s="84"/>
      <c r="P221" s="84"/>
      <c r="Q221" s="84"/>
      <c r="R221" s="84"/>
      <c r="S221" s="84"/>
      <c r="T221" s="84"/>
      <c r="U221" s="84"/>
      <c r="V221" s="84"/>
      <c r="W221" s="84"/>
      <c r="Y221" s="84"/>
      <c r="Z221" s="84"/>
      <c r="AA221" s="84"/>
      <c r="AB221" s="84"/>
      <c r="AC221" s="84"/>
      <c r="AD221" s="84"/>
      <c r="AE221" s="84"/>
      <c r="AF221" s="84"/>
      <c r="AG221" s="84"/>
      <c r="AH221" s="84"/>
      <c r="AI221" s="84"/>
      <c r="AL221" s="84"/>
      <c r="AM221" s="84"/>
      <c r="AN221" s="84"/>
      <c r="AO221" s="84"/>
      <c r="AP221" s="84"/>
      <c r="AQ221" s="84"/>
      <c r="AR221" s="84"/>
      <c r="AS221" s="84"/>
      <c r="AT221" s="84"/>
      <c r="AU221" s="84"/>
      <c r="AV221" s="84"/>
      <c r="AY221" s="84"/>
      <c r="AZ221" s="84"/>
      <c r="BA221" s="84"/>
      <c r="BB221" s="84"/>
      <c r="BC221" s="84"/>
      <c r="BD221" s="84"/>
      <c r="BE221" s="84"/>
      <c r="BF221" s="942"/>
      <c r="BG221" s="942"/>
      <c r="BH221" s="942"/>
      <c r="BI221" s="84"/>
      <c r="BL221" s="84"/>
      <c r="BM221" s="84"/>
      <c r="BN221" s="84"/>
      <c r="BO221" s="84"/>
      <c r="BP221" s="84"/>
      <c r="BQ221" s="84"/>
      <c r="BR221" s="84"/>
      <c r="BS221" s="942"/>
      <c r="BT221" s="942"/>
      <c r="BU221" s="942"/>
      <c r="BV221" s="84"/>
    </row>
    <row r="222" spans="1:74" ht="15.75">
      <c r="A222" s="310"/>
      <c r="B222" s="311"/>
      <c r="C222" s="214" t="s">
        <v>1353</v>
      </c>
      <c r="D222" s="304"/>
      <c r="E222" s="304"/>
      <c r="F222" s="304"/>
      <c r="G222" s="405"/>
      <c r="H222" s="273"/>
      <c r="I222" s="273"/>
      <c r="J222" s="304"/>
      <c r="K222" s="304"/>
      <c r="L222" s="306"/>
      <c r="N222" s="84"/>
      <c r="O222" s="84"/>
      <c r="P222" s="84"/>
      <c r="Q222" s="84"/>
      <c r="R222" s="84"/>
      <c r="S222" s="84"/>
      <c r="T222" s="84"/>
      <c r="U222" s="84"/>
      <c r="V222" s="84"/>
      <c r="W222" s="84"/>
      <c r="Y222" s="84"/>
      <c r="Z222" s="84"/>
      <c r="AA222" s="84"/>
      <c r="AB222" s="84"/>
      <c r="AC222" s="84"/>
      <c r="AD222" s="84"/>
      <c r="AE222" s="84"/>
      <c r="AF222" s="84"/>
      <c r="AG222" s="84"/>
      <c r="AH222" s="84"/>
      <c r="AI222" s="84"/>
      <c r="AL222" s="84"/>
      <c r="AM222" s="84"/>
      <c r="AN222" s="84"/>
      <c r="AO222" s="84"/>
      <c r="AP222" s="84"/>
      <c r="AQ222" s="84"/>
      <c r="AR222" s="84"/>
      <c r="AS222" s="84"/>
      <c r="AT222" s="84"/>
      <c r="AU222" s="84"/>
      <c r="AV222" s="84"/>
      <c r="AY222" s="84"/>
      <c r="AZ222" s="84"/>
      <c r="BA222" s="84"/>
      <c r="BB222" s="84"/>
      <c r="BC222" s="84"/>
      <c r="BD222" s="84"/>
      <c r="BE222" s="84"/>
      <c r="BF222" s="942"/>
      <c r="BG222" s="942"/>
      <c r="BH222" s="942"/>
      <c r="BI222" s="84"/>
      <c r="BL222" s="84"/>
      <c r="BM222" s="84"/>
      <c r="BN222" s="84"/>
      <c r="BO222" s="84"/>
      <c r="BP222" s="84"/>
      <c r="BQ222" s="84"/>
      <c r="BR222" s="84"/>
      <c r="BS222" s="942"/>
      <c r="BT222" s="942"/>
      <c r="BU222" s="942"/>
      <c r="BV222" s="84"/>
    </row>
    <row r="223" spans="1:74" s="400" customFormat="1" ht="15.75">
      <c r="A223" s="310">
        <f>A220+1</f>
        <v>220</v>
      </c>
      <c r="B223" s="311" t="s">
        <v>636</v>
      </c>
      <c r="C223" s="1053" t="s">
        <v>693</v>
      </c>
      <c r="D223" s="778"/>
      <c r="E223" s="778"/>
      <c r="F223" s="778"/>
      <c r="G223" s="778"/>
      <c r="H223" s="778"/>
      <c r="I223" s="46" t="s">
        <v>702</v>
      </c>
      <c r="J223" s="410"/>
      <c r="K223" s="410"/>
      <c r="L223" s="411"/>
      <c r="N223" s="84"/>
      <c r="O223" s="84"/>
      <c r="P223" s="84"/>
      <c r="Q223" s="84"/>
      <c r="R223" s="84"/>
      <c r="S223" s="84"/>
      <c r="T223" s="84"/>
      <c r="U223" s="84"/>
      <c r="V223" s="84"/>
      <c r="W223" s="84"/>
      <c r="Y223" s="84"/>
      <c r="Z223" s="84"/>
      <c r="AA223" s="84"/>
      <c r="AB223" s="84"/>
      <c r="AC223" s="84"/>
      <c r="AD223" s="84"/>
      <c r="AE223" s="84"/>
      <c r="AF223" s="84"/>
      <c r="AG223" s="84"/>
      <c r="AH223" s="84"/>
      <c r="AI223" s="84"/>
      <c r="AL223" s="84"/>
      <c r="AM223" s="84"/>
      <c r="AN223" s="84"/>
      <c r="AO223" s="84"/>
      <c r="AP223" s="84"/>
      <c r="AQ223" s="84"/>
      <c r="AR223" s="84"/>
      <c r="AS223" s="84"/>
      <c r="AT223" s="84"/>
      <c r="AU223" s="84"/>
      <c r="AV223" s="84"/>
      <c r="AY223" s="84"/>
      <c r="AZ223" s="84"/>
      <c r="BA223" s="84"/>
      <c r="BB223" s="84"/>
      <c r="BC223" s="84"/>
      <c r="BD223" s="84"/>
      <c r="BE223" s="84"/>
      <c r="BF223" s="942"/>
      <c r="BG223" s="942"/>
      <c r="BH223" s="942"/>
      <c r="BI223" s="84"/>
      <c r="BL223" s="84"/>
      <c r="BM223" s="84"/>
      <c r="BN223" s="84"/>
      <c r="BO223" s="84"/>
      <c r="BP223" s="84"/>
      <c r="BQ223" s="84"/>
      <c r="BR223" s="84"/>
      <c r="BS223" s="942"/>
      <c r="BT223" s="942"/>
      <c r="BU223" s="942"/>
      <c r="BV223" s="84"/>
    </row>
    <row r="224" spans="1:74" s="400" customFormat="1" ht="15.75">
      <c r="A224" s="310"/>
      <c r="B224" s="311"/>
      <c r="C224" s="410"/>
      <c r="D224" s="410"/>
      <c r="E224" s="410"/>
      <c r="F224" s="410"/>
      <c r="G224" s="405"/>
      <c r="H224" s="410"/>
      <c r="I224" s="410"/>
      <c r="J224" s="410"/>
      <c r="K224" s="410"/>
      <c r="L224" s="411"/>
      <c r="N224" s="84"/>
      <c r="O224" s="84"/>
      <c r="P224" s="84"/>
      <c r="Q224" s="84"/>
      <c r="R224" s="84"/>
      <c r="S224" s="84"/>
      <c r="T224" s="84"/>
      <c r="U224" s="84"/>
      <c r="V224" s="84"/>
      <c r="W224" s="84"/>
      <c r="Y224" s="84"/>
      <c r="Z224" s="84"/>
      <c r="AA224" s="84"/>
      <c r="AB224" s="84"/>
      <c r="AC224" s="84"/>
      <c r="AD224" s="84"/>
      <c r="AE224" s="84"/>
      <c r="AF224" s="84"/>
      <c r="AG224" s="84"/>
      <c r="AH224" s="84"/>
      <c r="AI224" s="84"/>
      <c r="AL224" s="84"/>
      <c r="AM224" s="84"/>
      <c r="AN224" s="84"/>
      <c r="AO224" s="84"/>
      <c r="AP224" s="84"/>
      <c r="AQ224" s="84"/>
      <c r="AR224" s="84"/>
      <c r="AS224" s="84"/>
      <c r="AT224" s="84"/>
      <c r="AU224" s="84"/>
      <c r="AV224" s="84"/>
      <c r="AY224" s="84"/>
      <c r="AZ224" s="84"/>
      <c r="BA224" s="84"/>
      <c r="BB224" s="84"/>
      <c r="BC224" s="84"/>
      <c r="BD224" s="84"/>
      <c r="BE224" s="84"/>
      <c r="BF224" s="942"/>
      <c r="BG224" s="942"/>
      <c r="BH224" s="942"/>
      <c r="BI224" s="84"/>
      <c r="BL224" s="84"/>
      <c r="BM224" s="84"/>
      <c r="BN224" s="84"/>
      <c r="BO224" s="84"/>
      <c r="BP224" s="84"/>
      <c r="BQ224" s="84"/>
      <c r="BR224" s="84"/>
      <c r="BS224" s="942"/>
      <c r="BT224" s="942"/>
      <c r="BU224" s="942"/>
      <c r="BV224" s="84"/>
    </row>
    <row r="225" spans="1:74" s="400" customFormat="1" ht="15.75">
      <c r="A225" s="310">
        <f>A223+1</f>
        <v>221</v>
      </c>
      <c r="B225" s="311" t="s">
        <v>636</v>
      </c>
      <c r="C225" s="405" t="s">
        <v>1354</v>
      </c>
      <c r="D225" s="405"/>
      <c r="E225" s="405"/>
      <c r="F225" s="405"/>
      <c r="G225" s="405"/>
      <c r="H225" s="404"/>
      <c r="I225" s="1114" t="s">
        <v>325</v>
      </c>
      <c r="J225" s="775"/>
      <c r="K225" s="410"/>
      <c r="L225" s="411"/>
      <c r="N225" s="84"/>
      <c r="O225" s="84"/>
      <c r="P225" s="84"/>
      <c r="Q225" s="84"/>
      <c r="R225" s="84"/>
      <c r="S225" s="84"/>
      <c r="T225" s="84"/>
      <c r="U225" s="84"/>
      <c r="V225" s="84"/>
      <c r="W225" s="84"/>
      <c r="Y225" s="84"/>
      <c r="Z225" s="84"/>
      <c r="AA225" s="84"/>
      <c r="AB225" s="84"/>
      <c r="AC225" s="84"/>
      <c r="AD225" s="84"/>
      <c r="AE225" s="84"/>
      <c r="AF225" s="84"/>
      <c r="AG225" s="84"/>
      <c r="AH225" s="84"/>
      <c r="AI225" s="84"/>
      <c r="AL225" s="84"/>
      <c r="AM225" s="84"/>
      <c r="AN225" s="84"/>
      <c r="AO225" s="84"/>
      <c r="AP225" s="84"/>
      <c r="AQ225" s="84"/>
      <c r="AR225" s="84"/>
      <c r="AS225" s="84"/>
      <c r="AT225" s="84"/>
      <c r="AU225" s="84"/>
      <c r="AV225" s="84"/>
      <c r="AY225" s="84"/>
      <c r="AZ225" s="84"/>
      <c r="BA225" s="84"/>
      <c r="BB225" s="84"/>
      <c r="BC225" s="84"/>
      <c r="BD225" s="84"/>
      <c r="BE225" s="84"/>
      <c r="BF225" s="942"/>
      <c r="BG225" s="942"/>
      <c r="BH225" s="942"/>
      <c r="BI225" s="84"/>
      <c r="BL225" s="84"/>
      <c r="BM225" s="84"/>
      <c r="BN225" s="84"/>
      <c r="BO225" s="84"/>
      <c r="BP225" s="84"/>
      <c r="BQ225" s="84"/>
      <c r="BR225" s="84"/>
      <c r="BS225" s="942"/>
      <c r="BT225" s="942"/>
      <c r="BU225" s="942"/>
      <c r="BV225" s="84"/>
    </row>
    <row r="226" spans="1:74" s="400" customFormat="1" ht="15.75">
      <c r="A226" s="310"/>
      <c r="B226" s="311"/>
      <c r="C226" s="410"/>
      <c r="D226" s="410"/>
      <c r="E226" s="410"/>
      <c r="F226" s="410"/>
      <c r="G226" s="405"/>
      <c r="H226" s="410"/>
      <c r="I226" s="410"/>
      <c r="J226" s="410"/>
      <c r="K226" s="410"/>
      <c r="L226" s="411"/>
      <c r="N226" s="84"/>
      <c r="O226" s="84"/>
      <c r="P226" s="84"/>
      <c r="Q226" s="84"/>
      <c r="R226" s="84"/>
      <c r="S226" s="84"/>
      <c r="T226" s="84"/>
      <c r="U226" s="84"/>
      <c r="V226" s="84"/>
      <c r="W226" s="84"/>
      <c r="Y226" s="84"/>
      <c r="Z226" s="84"/>
      <c r="AA226" s="84"/>
      <c r="AB226" s="84"/>
      <c r="AC226" s="84"/>
      <c r="AD226" s="84"/>
      <c r="AE226" s="84"/>
      <c r="AF226" s="84"/>
      <c r="AG226" s="84"/>
      <c r="AH226" s="84"/>
      <c r="AI226" s="84"/>
      <c r="AL226" s="84"/>
      <c r="AM226" s="84"/>
      <c r="AN226" s="84"/>
      <c r="AO226" s="84"/>
      <c r="AP226" s="84"/>
      <c r="AQ226" s="84"/>
      <c r="AR226" s="84"/>
      <c r="AS226" s="84"/>
      <c r="AT226" s="84"/>
      <c r="AU226" s="84"/>
      <c r="AV226" s="84"/>
      <c r="AY226" s="84"/>
      <c r="AZ226" s="84"/>
      <c r="BA226" s="84"/>
      <c r="BB226" s="84"/>
      <c r="BC226" s="84"/>
      <c r="BD226" s="84"/>
      <c r="BE226" s="84"/>
      <c r="BF226" s="942"/>
      <c r="BG226" s="942"/>
      <c r="BH226" s="942"/>
      <c r="BI226" s="84"/>
      <c r="BL226" s="84"/>
      <c r="BM226" s="84"/>
      <c r="BN226" s="84"/>
      <c r="BO226" s="84"/>
      <c r="BP226" s="84"/>
      <c r="BQ226" s="84"/>
      <c r="BR226" s="84"/>
      <c r="BS226" s="942"/>
      <c r="BT226" s="942"/>
      <c r="BU226" s="942"/>
      <c r="BV226" s="84"/>
    </row>
    <row r="227" spans="1:74" s="400" customFormat="1" ht="15" thickBot="1">
      <c r="A227" s="310"/>
      <c r="B227" s="801"/>
      <c r="C227" s="802" t="s">
        <v>559</v>
      </c>
      <c r="D227" s="802"/>
      <c r="E227" s="802"/>
      <c r="F227" s="803"/>
      <c r="G227" s="803"/>
      <c r="H227" s="803"/>
      <c r="I227" s="803"/>
      <c r="J227" s="803"/>
      <c r="K227" s="803"/>
      <c r="L227" s="411"/>
      <c r="N227" s="84"/>
      <c r="O227" s="84"/>
      <c r="P227" s="84"/>
      <c r="Q227" s="84"/>
      <c r="R227" s="84"/>
      <c r="S227" s="84"/>
      <c r="T227" s="84"/>
      <c r="U227" s="84"/>
      <c r="V227" s="84"/>
      <c r="W227" s="84"/>
      <c r="Y227" s="84"/>
      <c r="Z227" s="84"/>
      <c r="AA227" s="84"/>
      <c r="AB227" s="84"/>
      <c r="AC227" s="84"/>
      <c r="AD227" s="84"/>
      <c r="AE227" s="84"/>
      <c r="AF227" s="84"/>
      <c r="AG227" s="84"/>
      <c r="AH227" s="84"/>
      <c r="AI227" s="84"/>
      <c r="AL227" s="84"/>
      <c r="AM227" s="84"/>
      <c r="AN227" s="84"/>
      <c r="AO227" s="84"/>
      <c r="AP227" s="84"/>
      <c r="AQ227" s="84"/>
      <c r="AR227" s="84"/>
      <c r="AS227" s="84"/>
      <c r="AT227" s="84"/>
      <c r="AU227" s="84"/>
      <c r="AV227" s="84"/>
      <c r="AY227" s="84"/>
      <c r="AZ227" s="84"/>
      <c r="BA227" s="84"/>
      <c r="BB227" s="84"/>
      <c r="BC227" s="84"/>
      <c r="BD227" s="84"/>
      <c r="BE227" s="84"/>
      <c r="BF227" s="942"/>
      <c r="BG227" s="942"/>
      <c r="BH227" s="942"/>
      <c r="BI227" s="84"/>
      <c r="BL227" s="84"/>
      <c r="BM227" s="84"/>
      <c r="BN227" s="84"/>
      <c r="BO227" s="84"/>
      <c r="BP227" s="84"/>
      <c r="BQ227" s="84"/>
      <c r="BR227" s="84"/>
      <c r="BS227" s="942"/>
      <c r="BT227" s="942"/>
      <c r="BU227" s="942"/>
      <c r="BV227" s="84"/>
    </row>
    <row r="228" spans="1:74" s="400" customFormat="1" ht="15" thickTop="1">
      <c r="A228" s="310"/>
      <c r="B228" s="801"/>
      <c r="C228" s="1316"/>
      <c r="D228" s="1255"/>
      <c r="E228" s="1255"/>
      <c r="F228" s="1255"/>
      <c r="G228" s="1255"/>
      <c r="H228" s="1255"/>
      <c r="I228" s="1255"/>
      <c r="J228" s="1255"/>
      <c r="K228" s="1256"/>
      <c r="L228" s="411"/>
      <c r="N228" s="84"/>
      <c r="O228" s="84"/>
      <c r="P228" s="84"/>
      <c r="Q228" s="84"/>
      <c r="R228" s="84"/>
      <c r="S228" s="84"/>
      <c r="T228" s="84"/>
      <c r="U228" s="84"/>
      <c r="V228" s="84"/>
      <c r="W228" s="84"/>
      <c r="Y228" s="84"/>
      <c r="Z228" s="84"/>
      <c r="AA228" s="84"/>
      <c r="AB228" s="84"/>
      <c r="AC228" s="84"/>
      <c r="AD228" s="84"/>
      <c r="AE228" s="84"/>
      <c r="AF228" s="84"/>
      <c r="AG228" s="84"/>
      <c r="AH228" s="84"/>
      <c r="AI228" s="84"/>
      <c r="AL228" s="84"/>
      <c r="AM228" s="84"/>
      <c r="AN228" s="84"/>
      <c r="AO228" s="84"/>
      <c r="AP228" s="84"/>
      <c r="AQ228" s="84"/>
      <c r="AR228" s="84"/>
      <c r="AS228" s="84"/>
      <c r="AT228" s="84"/>
      <c r="AU228" s="84"/>
      <c r="AV228" s="84"/>
      <c r="AY228" s="84"/>
      <c r="AZ228" s="84"/>
      <c r="BA228" s="84"/>
      <c r="BB228" s="84"/>
      <c r="BC228" s="84"/>
      <c r="BD228" s="84"/>
      <c r="BE228" s="84"/>
      <c r="BF228" s="942"/>
      <c r="BG228" s="942"/>
      <c r="BH228" s="942"/>
      <c r="BI228" s="84"/>
      <c r="BL228" s="84"/>
      <c r="BM228" s="84"/>
      <c r="BN228" s="84"/>
      <c r="BO228" s="84"/>
      <c r="BP228" s="84"/>
      <c r="BQ228" s="84"/>
      <c r="BR228" s="84"/>
      <c r="BS228" s="942"/>
      <c r="BT228" s="942"/>
      <c r="BU228" s="942"/>
      <c r="BV228" s="84"/>
    </row>
    <row r="229" spans="1:74" s="400" customFormat="1" ht="14.25">
      <c r="A229" s="310"/>
      <c r="B229" s="801"/>
      <c r="C229" s="1257"/>
      <c r="D229" s="1317"/>
      <c r="E229" s="1317"/>
      <c r="F229" s="1317"/>
      <c r="G229" s="1317"/>
      <c r="H229" s="1317"/>
      <c r="I229" s="1317"/>
      <c r="J229" s="1317"/>
      <c r="K229" s="1259"/>
      <c r="L229" s="411"/>
      <c r="N229" s="84"/>
      <c r="O229" s="84"/>
      <c r="P229" s="84"/>
      <c r="Q229" s="84"/>
      <c r="R229" s="84"/>
      <c r="S229" s="84"/>
      <c r="T229" s="84"/>
      <c r="U229" s="84"/>
      <c r="V229" s="84"/>
      <c r="W229" s="84"/>
      <c r="Y229" s="84"/>
      <c r="Z229" s="84"/>
      <c r="AA229" s="84"/>
      <c r="AB229" s="84"/>
      <c r="AC229" s="84"/>
      <c r="AD229" s="84"/>
      <c r="AE229" s="84"/>
      <c r="AF229" s="84"/>
      <c r="AG229" s="84"/>
      <c r="AH229" s="84"/>
      <c r="AI229" s="84"/>
      <c r="AL229" s="84"/>
      <c r="AM229" s="84"/>
      <c r="AN229" s="84"/>
      <c r="AO229" s="84"/>
      <c r="AP229" s="84"/>
      <c r="AQ229" s="84"/>
      <c r="AR229" s="84"/>
      <c r="AS229" s="84"/>
      <c r="AT229" s="84"/>
      <c r="AU229" s="84"/>
      <c r="AV229" s="84"/>
      <c r="AY229" s="84"/>
      <c r="AZ229" s="84"/>
      <c r="BA229" s="84"/>
      <c r="BB229" s="84"/>
      <c r="BC229" s="84"/>
      <c r="BD229" s="84"/>
      <c r="BE229" s="84"/>
      <c r="BF229" s="942"/>
      <c r="BG229" s="942"/>
      <c r="BH229" s="942"/>
      <c r="BI229" s="84"/>
      <c r="BL229" s="84"/>
      <c r="BM229" s="84"/>
      <c r="BN229" s="84"/>
      <c r="BO229" s="84"/>
      <c r="BP229" s="84"/>
      <c r="BQ229" s="84"/>
      <c r="BR229" s="84"/>
      <c r="BS229" s="942"/>
      <c r="BT229" s="942"/>
      <c r="BU229" s="942"/>
      <c r="BV229" s="84"/>
    </row>
    <row r="230" spans="1:74" s="400" customFormat="1" ht="14.25">
      <c r="A230" s="310"/>
      <c r="B230" s="801"/>
      <c r="C230" s="1257"/>
      <c r="D230" s="1317"/>
      <c r="E230" s="1317"/>
      <c r="F230" s="1317"/>
      <c r="G230" s="1317"/>
      <c r="H230" s="1317"/>
      <c r="I230" s="1317"/>
      <c r="J230" s="1317"/>
      <c r="K230" s="1259"/>
      <c r="L230" s="411"/>
      <c r="N230" s="84"/>
      <c r="O230" s="84"/>
      <c r="P230" s="84"/>
      <c r="Q230" s="84"/>
      <c r="R230" s="84"/>
      <c r="S230" s="84"/>
      <c r="T230" s="84"/>
      <c r="U230" s="84"/>
      <c r="V230" s="84"/>
      <c r="W230" s="84"/>
      <c r="Y230" s="84"/>
      <c r="Z230" s="84"/>
      <c r="AA230" s="84"/>
      <c r="AB230" s="84"/>
      <c r="AC230" s="84"/>
      <c r="AD230" s="84"/>
      <c r="AE230" s="84"/>
      <c r="AF230" s="84"/>
      <c r="AG230" s="84"/>
      <c r="AH230" s="84"/>
      <c r="AI230" s="84"/>
      <c r="AL230" s="84"/>
      <c r="AM230" s="84"/>
      <c r="AN230" s="84"/>
      <c r="AO230" s="84"/>
      <c r="AP230" s="84"/>
      <c r="AQ230" s="84"/>
      <c r="AR230" s="84"/>
      <c r="AS230" s="84"/>
      <c r="AT230" s="84"/>
      <c r="AU230" s="84"/>
      <c r="AV230" s="84"/>
      <c r="AY230" s="84"/>
      <c r="AZ230" s="84"/>
      <c r="BA230" s="84"/>
      <c r="BB230" s="84"/>
      <c r="BC230" s="84"/>
      <c r="BD230" s="84"/>
      <c r="BE230" s="84"/>
      <c r="BF230" s="942"/>
      <c r="BG230" s="942"/>
      <c r="BH230" s="942"/>
      <c r="BI230" s="84"/>
      <c r="BL230" s="84"/>
      <c r="BM230" s="84"/>
      <c r="BN230" s="84"/>
      <c r="BO230" s="84"/>
      <c r="BP230" s="84"/>
      <c r="BQ230" s="84"/>
      <c r="BR230" s="84"/>
      <c r="BS230" s="942"/>
      <c r="BT230" s="942"/>
      <c r="BU230" s="942"/>
      <c r="BV230" s="84"/>
    </row>
    <row r="231" spans="1:74" ht="14.25">
      <c r="A231" s="310"/>
      <c r="B231" s="222"/>
      <c r="C231" s="1257"/>
      <c r="D231" s="1317"/>
      <c r="E231" s="1317"/>
      <c r="F231" s="1317"/>
      <c r="G231" s="1317"/>
      <c r="H231" s="1317"/>
      <c r="I231" s="1317"/>
      <c r="J231" s="1317"/>
      <c r="K231" s="1259"/>
      <c r="L231" s="411"/>
      <c r="N231" s="84"/>
      <c r="O231" s="84"/>
      <c r="P231" s="84"/>
      <c r="Q231" s="84"/>
      <c r="R231" s="84"/>
      <c r="S231" s="84"/>
      <c r="T231" s="84"/>
      <c r="U231" s="84"/>
      <c r="V231" s="84"/>
      <c r="W231" s="84"/>
      <c r="Y231" s="84"/>
      <c r="Z231" s="84"/>
      <c r="AA231" s="84"/>
      <c r="AB231" s="84"/>
      <c r="AC231" s="84"/>
      <c r="AD231" s="84"/>
      <c r="AE231" s="84"/>
      <c r="AF231" s="84"/>
      <c r="AG231" s="84"/>
      <c r="AH231" s="84"/>
      <c r="AI231" s="84"/>
      <c r="AL231" s="84"/>
      <c r="AM231" s="84"/>
      <c r="AN231" s="84"/>
      <c r="AO231" s="84"/>
      <c r="AP231" s="84"/>
      <c r="AQ231" s="84"/>
      <c r="AR231" s="84"/>
      <c r="AS231" s="84"/>
      <c r="AT231" s="84"/>
      <c r="AU231" s="84"/>
      <c r="AV231" s="84"/>
      <c r="AY231" s="84"/>
      <c r="AZ231" s="84"/>
      <c r="BA231" s="84"/>
      <c r="BB231" s="84"/>
      <c r="BC231" s="84"/>
      <c r="BD231" s="84"/>
      <c r="BE231" s="84"/>
      <c r="BF231" s="942"/>
      <c r="BG231" s="942"/>
      <c r="BH231" s="942"/>
      <c r="BI231" s="84"/>
      <c r="BL231" s="84"/>
      <c r="BM231" s="84"/>
      <c r="BN231" s="84"/>
      <c r="BO231" s="84"/>
      <c r="BP231" s="84"/>
      <c r="BQ231" s="84"/>
      <c r="BR231" s="84"/>
      <c r="BS231" s="942"/>
      <c r="BT231" s="942"/>
      <c r="BU231" s="942"/>
      <c r="BV231" s="84"/>
    </row>
    <row r="232" spans="1:74" ht="14.25">
      <c r="A232" s="310"/>
      <c r="B232" s="222"/>
      <c r="C232" s="1257"/>
      <c r="D232" s="1317"/>
      <c r="E232" s="1317"/>
      <c r="F232" s="1317"/>
      <c r="G232" s="1317"/>
      <c r="H232" s="1317"/>
      <c r="I232" s="1317"/>
      <c r="J232" s="1317"/>
      <c r="K232" s="1259"/>
      <c r="L232" s="411"/>
      <c r="N232" s="84"/>
      <c r="O232" s="84"/>
      <c r="P232" s="84"/>
      <c r="Q232" s="84"/>
      <c r="R232" s="84"/>
      <c r="S232" s="84"/>
      <c r="T232" s="84"/>
      <c r="U232" s="84"/>
      <c r="V232" s="84"/>
      <c r="W232" s="84"/>
      <c r="Y232" s="84"/>
      <c r="Z232" s="84"/>
      <c r="AA232" s="84"/>
      <c r="AB232" s="84"/>
      <c r="AC232" s="84"/>
      <c r="AD232" s="84"/>
      <c r="AE232" s="84"/>
      <c r="AF232" s="84"/>
      <c r="AG232" s="84"/>
      <c r="AH232" s="84"/>
      <c r="AI232" s="84"/>
      <c r="AL232" s="84"/>
      <c r="AM232" s="84"/>
      <c r="AN232" s="84"/>
      <c r="AO232" s="84"/>
      <c r="AP232" s="84"/>
      <c r="AQ232" s="84"/>
      <c r="AR232" s="84"/>
      <c r="AS232" s="84"/>
      <c r="AT232" s="84"/>
      <c r="AU232" s="84"/>
      <c r="AV232" s="84"/>
      <c r="AY232" s="84"/>
      <c r="AZ232" s="84"/>
      <c r="BA232" s="84"/>
      <c r="BB232" s="84"/>
      <c r="BC232" s="84"/>
      <c r="BD232" s="84"/>
      <c r="BE232" s="84"/>
      <c r="BF232" s="942"/>
      <c r="BG232" s="942"/>
      <c r="BH232" s="942"/>
      <c r="BI232" s="84"/>
      <c r="BL232" s="84"/>
      <c r="BM232" s="84"/>
      <c r="BN232" s="84"/>
      <c r="BO232" s="84"/>
      <c r="BP232" s="84"/>
      <c r="BQ232" s="84"/>
      <c r="BR232" s="84"/>
      <c r="BS232" s="942"/>
      <c r="BT232" s="942"/>
      <c r="BU232" s="942"/>
      <c r="BV232" s="84"/>
    </row>
    <row r="233" spans="1:74" ht="15.75" customHeight="1">
      <c r="A233" s="310"/>
      <c r="B233" s="311"/>
      <c r="C233" s="1257"/>
      <c r="D233" s="1317"/>
      <c r="E233" s="1317"/>
      <c r="F233" s="1317"/>
      <c r="G233" s="1317"/>
      <c r="H233" s="1317"/>
      <c r="I233" s="1317"/>
      <c r="J233" s="1317"/>
      <c r="K233" s="1259"/>
      <c r="L233" s="411"/>
      <c r="N233" s="84"/>
      <c r="O233" s="84"/>
      <c r="P233" s="84"/>
      <c r="Q233" s="84"/>
      <c r="R233" s="84"/>
      <c r="S233" s="84"/>
      <c r="T233" s="84"/>
      <c r="U233" s="84"/>
      <c r="V233" s="84"/>
      <c r="W233" s="84"/>
      <c r="Y233" s="84"/>
      <c r="Z233" s="84"/>
      <c r="AA233" s="84"/>
      <c r="AB233" s="84"/>
      <c r="AC233" s="84"/>
      <c r="AD233" s="84"/>
      <c r="AE233" s="84"/>
      <c r="AF233" s="84"/>
      <c r="AG233" s="84"/>
      <c r="AH233" s="84"/>
      <c r="AI233" s="84"/>
      <c r="AL233" s="84"/>
      <c r="AM233" s="84"/>
      <c r="AN233" s="84"/>
      <c r="AO233" s="84"/>
      <c r="AP233" s="84"/>
      <c r="AQ233" s="84"/>
      <c r="AR233" s="84"/>
      <c r="AS233" s="84"/>
      <c r="AT233" s="84"/>
      <c r="AU233" s="84"/>
      <c r="AV233" s="84"/>
      <c r="AY233" s="84"/>
      <c r="AZ233" s="84"/>
      <c r="BA233" s="84"/>
      <c r="BB233" s="84"/>
      <c r="BC233" s="84"/>
      <c r="BD233" s="84"/>
      <c r="BE233" s="84"/>
      <c r="BF233" s="942"/>
      <c r="BG233" s="942"/>
      <c r="BH233" s="942"/>
      <c r="BI233" s="84"/>
      <c r="BL233" s="84"/>
      <c r="BM233" s="84"/>
      <c r="BN233" s="84"/>
      <c r="BO233" s="84"/>
      <c r="BP233" s="84"/>
      <c r="BQ233" s="84"/>
      <c r="BR233" s="84"/>
      <c r="BS233" s="942"/>
      <c r="BT233" s="942"/>
      <c r="BU233" s="942"/>
      <c r="BV233" s="84"/>
    </row>
    <row r="234" spans="1:74" ht="15.75" customHeight="1">
      <c r="A234" s="310"/>
      <c r="B234" s="311"/>
      <c r="C234" s="1257"/>
      <c r="D234" s="1317"/>
      <c r="E234" s="1317"/>
      <c r="F234" s="1317"/>
      <c r="G234" s="1317"/>
      <c r="H234" s="1317"/>
      <c r="I234" s="1317"/>
      <c r="J234" s="1317"/>
      <c r="K234" s="1259"/>
      <c r="L234" s="411"/>
      <c r="N234" s="84"/>
      <c r="O234" s="84"/>
      <c r="P234" s="84"/>
      <c r="Q234" s="84"/>
      <c r="R234" s="84"/>
      <c r="S234" s="84"/>
      <c r="T234" s="84"/>
      <c r="U234" s="84"/>
      <c r="V234" s="84"/>
      <c r="W234" s="84"/>
      <c r="Y234" s="84"/>
      <c r="Z234" s="84"/>
      <c r="AA234" s="84"/>
      <c r="AB234" s="84"/>
      <c r="AC234" s="84"/>
      <c r="AD234" s="84"/>
      <c r="AE234" s="84"/>
      <c r="AF234" s="84"/>
      <c r="AG234" s="84"/>
      <c r="AH234" s="84"/>
      <c r="AI234" s="84"/>
      <c r="AL234" s="84"/>
      <c r="AM234" s="84"/>
      <c r="AN234" s="84"/>
      <c r="AO234" s="84"/>
      <c r="AP234" s="84"/>
      <c r="AQ234" s="84"/>
      <c r="AR234" s="84"/>
      <c r="AS234" s="84"/>
      <c r="AT234" s="84"/>
      <c r="AU234" s="84"/>
      <c r="AV234" s="84"/>
      <c r="AY234" s="84"/>
      <c r="AZ234" s="84"/>
      <c r="BA234" s="84"/>
      <c r="BB234" s="84"/>
      <c r="BC234" s="84"/>
      <c r="BD234" s="84"/>
      <c r="BE234" s="84"/>
      <c r="BF234" s="942"/>
      <c r="BG234" s="942"/>
      <c r="BH234" s="942"/>
      <c r="BI234" s="84"/>
      <c r="BL234" s="84"/>
      <c r="BM234" s="84"/>
      <c r="BN234" s="84"/>
      <c r="BO234" s="84"/>
      <c r="BP234" s="84"/>
      <c r="BQ234" s="84"/>
      <c r="BR234" s="84"/>
      <c r="BS234" s="942"/>
      <c r="BT234" s="942"/>
      <c r="BU234" s="942"/>
      <c r="BV234" s="84"/>
    </row>
    <row r="235" spans="1:74" ht="15.75" customHeight="1" thickBot="1">
      <c r="A235" s="310"/>
      <c r="B235" s="311"/>
      <c r="C235" s="1260"/>
      <c r="D235" s="1261"/>
      <c r="E235" s="1261"/>
      <c r="F235" s="1261"/>
      <c r="G235" s="1261"/>
      <c r="H235" s="1261"/>
      <c r="I235" s="1261"/>
      <c r="J235" s="1261"/>
      <c r="K235" s="1262"/>
      <c r="L235" s="411"/>
      <c r="N235" s="84"/>
      <c r="O235" s="84"/>
      <c r="P235" s="84"/>
      <c r="Q235" s="84"/>
      <c r="R235" s="84"/>
      <c r="S235" s="84"/>
      <c r="T235" s="84"/>
      <c r="U235" s="84"/>
      <c r="V235" s="84"/>
      <c r="W235" s="84"/>
      <c r="Y235" s="84"/>
      <c r="Z235" s="84"/>
      <c r="AA235" s="84"/>
      <c r="AB235" s="84"/>
      <c r="AC235" s="84"/>
      <c r="AD235" s="84"/>
      <c r="AE235" s="84"/>
      <c r="AF235" s="84"/>
      <c r="AG235" s="84"/>
      <c r="AH235" s="84"/>
      <c r="AI235" s="84"/>
      <c r="AL235" s="84"/>
      <c r="AM235" s="84"/>
      <c r="AN235" s="84"/>
      <c r="AO235" s="84"/>
      <c r="AP235" s="84"/>
      <c r="AQ235" s="84"/>
      <c r="AR235" s="84"/>
      <c r="AS235" s="84"/>
      <c r="AT235" s="84"/>
      <c r="AU235" s="84"/>
      <c r="AV235" s="84"/>
      <c r="AY235" s="84"/>
      <c r="AZ235" s="84"/>
      <c r="BA235" s="84"/>
      <c r="BB235" s="84"/>
      <c r="BC235" s="84"/>
      <c r="BD235" s="84"/>
      <c r="BE235" s="84"/>
      <c r="BF235" s="942"/>
      <c r="BG235" s="942"/>
      <c r="BH235" s="942"/>
      <c r="BI235" s="84"/>
      <c r="BL235" s="84"/>
      <c r="BM235" s="84"/>
      <c r="BN235" s="84"/>
      <c r="BO235" s="84"/>
      <c r="BP235" s="84"/>
      <c r="BQ235" s="84"/>
      <c r="BR235" s="84"/>
      <c r="BS235" s="942"/>
      <c r="BT235" s="942"/>
      <c r="BU235" s="942"/>
      <c r="BV235" s="84"/>
    </row>
    <row r="236" spans="1:74" ht="15.75" thickTop="1" thickBot="1">
      <c r="A236" s="383"/>
      <c r="B236" s="412"/>
      <c r="C236" s="413"/>
      <c r="D236" s="413"/>
      <c r="E236" s="413"/>
      <c r="F236" s="413"/>
      <c r="G236" s="413"/>
      <c r="H236" s="413"/>
      <c r="I236" s="413"/>
      <c r="J236" s="413"/>
      <c r="K236" s="413"/>
      <c r="L236" s="414"/>
      <c r="N236" s="84"/>
      <c r="O236" s="84"/>
      <c r="P236" s="84"/>
      <c r="Q236" s="84"/>
      <c r="R236" s="84"/>
      <c r="S236" s="84"/>
      <c r="T236" s="84"/>
      <c r="U236" s="84"/>
      <c r="V236" s="84"/>
      <c r="W236" s="84"/>
      <c r="Y236" s="84"/>
      <c r="Z236" s="84"/>
      <c r="AA236" s="84"/>
      <c r="AB236" s="84"/>
      <c r="AC236" s="84"/>
      <c r="AD236" s="84"/>
      <c r="AE236" s="84"/>
      <c r="AF236" s="84"/>
      <c r="AG236" s="84"/>
      <c r="AH236" s="84"/>
      <c r="AI236" s="84"/>
      <c r="AL236" s="84"/>
      <c r="AM236" s="84"/>
      <c r="AN236" s="84"/>
      <c r="AO236" s="84"/>
      <c r="AP236" s="84"/>
      <c r="AQ236" s="84"/>
      <c r="AR236" s="84"/>
      <c r="AS236" s="84"/>
      <c r="AT236" s="84"/>
      <c r="AU236" s="84"/>
      <c r="AV236" s="84"/>
      <c r="AY236" s="84"/>
      <c r="AZ236" s="84"/>
      <c r="BA236" s="84"/>
      <c r="BB236" s="84"/>
      <c r="BC236" s="84"/>
      <c r="BD236" s="84"/>
      <c r="BE236" s="84"/>
      <c r="BF236" s="942"/>
      <c r="BG236" s="942"/>
      <c r="BH236" s="942"/>
      <c r="BI236" s="84"/>
      <c r="BL236" s="84"/>
      <c r="BM236" s="84"/>
      <c r="BN236" s="84"/>
      <c r="BO236" s="84"/>
      <c r="BP236" s="84"/>
      <c r="BQ236" s="84"/>
      <c r="BR236" s="84"/>
      <c r="BS236" s="942"/>
      <c r="BT236" s="942"/>
      <c r="BU236" s="942"/>
      <c r="BV236" s="84"/>
    </row>
    <row r="237" spans="1:74" ht="15.75">
      <c r="A237" s="311"/>
      <c r="B237" s="415">
        <f>PROJNAME</f>
        <v>0</v>
      </c>
      <c r="C237" s="415"/>
      <c r="D237" s="304"/>
      <c r="E237" s="304"/>
      <c r="F237" s="304"/>
      <c r="G237" s="304"/>
      <c r="H237" s="415" t="e">
        <f>$H$56</f>
        <v>#VALUE!</v>
      </c>
      <c r="I237" s="415"/>
      <c r="J237" s="415" t="e">
        <f>$J$56</f>
        <v>#VALUE!</v>
      </c>
      <c r="K237" s="415"/>
      <c r="L237" s="304"/>
      <c r="N237" s="84"/>
      <c r="O237" s="84"/>
      <c r="P237" s="84"/>
      <c r="Q237" s="84"/>
      <c r="R237" s="84"/>
      <c r="S237" s="84"/>
      <c r="T237" s="84"/>
      <c r="U237" s="84"/>
      <c r="V237" s="84"/>
      <c r="W237" s="84"/>
      <c r="Y237" s="84"/>
      <c r="Z237" s="84"/>
      <c r="AA237" s="84"/>
      <c r="AB237" s="84"/>
      <c r="AC237" s="84"/>
      <c r="AD237" s="84"/>
      <c r="AE237" s="84"/>
      <c r="AF237" s="84"/>
      <c r="AG237" s="84"/>
      <c r="AH237" s="84"/>
      <c r="AI237" s="84"/>
      <c r="AL237" s="84"/>
      <c r="AM237" s="84"/>
      <c r="AN237" s="84"/>
      <c r="AO237" s="84"/>
      <c r="AP237" s="84"/>
      <c r="AQ237" s="84"/>
      <c r="AR237" s="84"/>
      <c r="AS237" s="84"/>
      <c r="AT237" s="84"/>
      <c r="AU237" s="84"/>
      <c r="AV237" s="84"/>
      <c r="AY237" s="84"/>
      <c r="AZ237" s="84"/>
      <c r="BA237" s="84"/>
      <c r="BB237" s="84"/>
      <c r="BC237" s="84"/>
      <c r="BD237" s="84"/>
      <c r="BE237" s="84"/>
      <c r="BF237" s="942"/>
      <c r="BG237" s="942"/>
      <c r="BH237" s="942"/>
      <c r="BI237" s="84"/>
      <c r="BL237" s="84"/>
      <c r="BM237" s="84"/>
      <c r="BN237" s="84"/>
      <c r="BO237" s="84"/>
      <c r="BP237" s="84"/>
      <c r="BQ237" s="84"/>
      <c r="BR237" s="84"/>
      <c r="BS237" s="942"/>
      <c r="BT237" s="942"/>
      <c r="BU237" s="942"/>
      <c r="BV237" s="84"/>
    </row>
    <row r="238" spans="1:74" ht="14.25">
      <c r="N238" s="84"/>
      <c r="O238" s="84"/>
      <c r="P238" s="84"/>
      <c r="Q238" s="84"/>
      <c r="R238" s="84"/>
      <c r="S238" s="84"/>
      <c r="T238" s="84"/>
      <c r="U238" s="84"/>
      <c r="V238" s="84"/>
      <c r="W238" s="84"/>
      <c r="Y238" s="84"/>
      <c r="Z238" s="84"/>
      <c r="AA238" s="84"/>
      <c r="AB238" s="84"/>
      <c r="AC238" s="84"/>
      <c r="AD238" s="84"/>
      <c r="AE238" s="84"/>
      <c r="AF238" s="84"/>
      <c r="AG238" s="84"/>
      <c r="AH238" s="84"/>
      <c r="AI238" s="84"/>
      <c r="AL238" s="84"/>
      <c r="AM238" s="84"/>
      <c r="AN238" s="84"/>
      <c r="AO238" s="84"/>
      <c r="AP238" s="84"/>
      <c r="AQ238" s="84"/>
      <c r="AR238" s="84"/>
      <c r="AS238" s="84"/>
      <c r="AT238" s="84"/>
      <c r="AU238" s="84"/>
      <c r="AV238" s="84"/>
      <c r="AY238" s="84"/>
      <c r="AZ238" s="84"/>
      <c r="BA238" s="84"/>
      <c r="BB238" s="84"/>
      <c r="BC238" s="84"/>
      <c r="BD238" s="84"/>
      <c r="BE238" s="84"/>
      <c r="BF238" s="942"/>
      <c r="BG238" s="942"/>
      <c r="BH238" s="942"/>
      <c r="BI238" s="84"/>
      <c r="BL238" s="84"/>
      <c r="BM238" s="84"/>
      <c r="BN238" s="84"/>
      <c r="BO238" s="84"/>
      <c r="BP238" s="84"/>
      <c r="BQ238" s="84"/>
      <c r="BR238" s="84"/>
      <c r="BS238" s="942"/>
      <c r="BT238" s="942"/>
      <c r="BU238" s="942"/>
      <c r="BV238" s="84"/>
    </row>
    <row r="239" spans="1:74" ht="14.25">
      <c r="N239" s="84"/>
      <c r="O239" s="84"/>
      <c r="P239" s="84"/>
      <c r="Q239" s="84"/>
      <c r="R239" s="84"/>
      <c r="S239" s="84"/>
      <c r="T239" s="84"/>
      <c r="U239" s="84"/>
      <c r="V239" s="84"/>
      <c r="W239" s="84"/>
      <c r="Y239" s="84"/>
      <c r="Z239" s="84"/>
      <c r="AA239" s="84"/>
      <c r="AB239" s="84"/>
      <c r="AC239" s="84"/>
      <c r="AD239" s="84"/>
      <c r="AE239" s="84"/>
      <c r="AF239" s="84"/>
      <c r="AG239" s="84"/>
      <c r="AH239" s="84"/>
      <c r="AI239" s="84"/>
      <c r="AL239" s="84"/>
      <c r="AM239" s="84"/>
      <c r="AN239" s="84"/>
      <c r="AO239" s="84"/>
      <c r="AP239" s="84"/>
      <c r="AQ239" s="84"/>
      <c r="AR239" s="84"/>
      <c r="AS239" s="84"/>
      <c r="AT239" s="84"/>
      <c r="AU239" s="84"/>
      <c r="AV239" s="84"/>
      <c r="AY239" s="84"/>
      <c r="AZ239" s="84"/>
      <c r="BA239" s="84"/>
      <c r="BB239" s="84"/>
      <c r="BC239" s="84"/>
      <c r="BD239" s="84"/>
      <c r="BE239" s="84"/>
      <c r="BF239" s="942"/>
      <c r="BG239" s="942"/>
      <c r="BH239" s="942"/>
      <c r="BI239" s="84"/>
      <c r="BL239" s="84"/>
      <c r="BM239" s="84"/>
      <c r="BN239" s="84"/>
      <c r="BO239" s="84"/>
      <c r="BP239" s="84"/>
      <c r="BQ239" s="84"/>
      <c r="BR239" s="84"/>
      <c r="BS239" s="942"/>
      <c r="BT239" s="942"/>
      <c r="BU239" s="942"/>
      <c r="BV239" s="84"/>
    </row>
    <row r="240" spans="1:74" ht="14.25">
      <c r="N240" s="84"/>
      <c r="O240" s="84"/>
      <c r="P240" s="84"/>
      <c r="Q240" s="84"/>
      <c r="R240" s="84"/>
      <c r="S240" s="84"/>
      <c r="T240" s="84"/>
      <c r="U240" s="84"/>
      <c r="V240" s="84"/>
      <c r="W240" s="84"/>
      <c r="Y240" s="84"/>
      <c r="Z240" s="84"/>
      <c r="AA240" s="84"/>
      <c r="AB240" s="84"/>
      <c r="AC240" s="84"/>
      <c r="AD240" s="84"/>
      <c r="AE240" s="84"/>
      <c r="AF240" s="84"/>
      <c r="AG240" s="84"/>
      <c r="AH240" s="84"/>
      <c r="AI240" s="84"/>
      <c r="AL240" s="84"/>
      <c r="AM240" s="84"/>
      <c r="AN240" s="84"/>
      <c r="AO240" s="84"/>
      <c r="AP240" s="84"/>
      <c r="AQ240" s="84"/>
      <c r="AR240" s="84"/>
      <c r="AS240" s="84"/>
      <c r="AT240" s="84"/>
      <c r="AU240" s="84"/>
      <c r="AV240" s="84"/>
      <c r="AY240" s="84"/>
      <c r="AZ240" s="84"/>
      <c r="BA240" s="84"/>
      <c r="BB240" s="84"/>
      <c r="BC240" s="84"/>
      <c r="BD240" s="84"/>
      <c r="BE240" s="84"/>
      <c r="BF240" s="942"/>
      <c r="BG240" s="942"/>
      <c r="BH240" s="942"/>
      <c r="BI240" s="84"/>
      <c r="BL240" s="84"/>
      <c r="BM240" s="84"/>
      <c r="BN240" s="84"/>
      <c r="BO240" s="84"/>
      <c r="BP240" s="84"/>
      <c r="BQ240" s="84"/>
      <c r="BR240" s="84"/>
      <c r="BS240" s="942"/>
      <c r="BT240" s="942"/>
      <c r="BU240" s="942"/>
      <c r="BV240" s="84"/>
    </row>
    <row r="241" spans="14:74" ht="14.25">
      <c r="N241" s="84"/>
      <c r="O241" s="84"/>
      <c r="P241" s="84"/>
      <c r="Q241" s="84"/>
      <c r="R241" s="84"/>
      <c r="S241" s="84"/>
      <c r="T241" s="84"/>
      <c r="U241" s="84"/>
      <c r="V241" s="84"/>
      <c r="W241" s="84"/>
      <c r="Y241" s="84"/>
      <c r="Z241" s="84"/>
      <c r="AA241" s="84"/>
      <c r="AB241" s="84"/>
      <c r="AC241" s="84"/>
      <c r="AD241" s="84"/>
      <c r="AE241" s="84"/>
      <c r="AF241" s="84"/>
      <c r="AG241" s="84"/>
      <c r="AH241" s="84"/>
      <c r="AI241" s="84"/>
      <c r="AL241" s="84"/>
      <c r="AM241" s="84"/>
      <c r="AN241" s="84"/>
      <c r="AO241" s="84"/>
      <c r="AP241" s="84"/>
      <c r="AQ241" s="84"/>
      <c r="AR241" s="84"/>
      <c r="AS241" s="84"/>
      <c r="AT241" s="84"/>
      <c r="AU241" s="84"/>
      <c r="AV241" s="84"/>
      <c r="AY241" s="84"/>
      <c r="AZ241" s="84"/>
      <c r="BA241" s="84"/>
      <c r="BB241" s="84"/>
      <c r="BC241" s="84"/>
      <c r="BD241" s="84"/>
      <c r="BE241" s="84"/>
      <c r="BF241" s="942"/>
      <c r="BG241" s="942"/>
      <c r="BH241" s="942"/>
      <c r="BI241" s="84"/>
      <c r="BL241" s="84"/>
      <c r="BM241" s="84"/>
      <c r="BN241" s="84"/>
      <c r="BO241" s="84"/>
      <c r="BP241" s="84"/>
      <c r="BQ241" s="84"/>
      <c r="BR241" s="84"/>
      <c r="BS241" s="942"/>
      <c r="BT241" s="942"/>
      <c r="BU241" s="942"/>
      <c r="BV241" s="84"/>
    </row>
    <row r="242" spans="14:74" ht="14.25">
      <c r="N242" s="84"/>
      <c r="O242" s="84"/>
      <c r="P242" s="84"/>
      <c r="Q242" s="84"/>
      <c r="R242" s="84"/>
      <c r="S242" s="84"/>
      <c r="T242" s="84"/>
      <c r="U242" s="84"/>
      <c r="V242" s="84"/>
      <c r="W242" s="84"/>
      <c r="Y242" s="84"/>
      <c r="Z242" s="84"/>
      <c r="AA242" s="84"/>
      <c r="AB242" s="84"/>
      <c r="AC242" s="84"/>
      <c r="AD242" s="84"/>
      <c r="AE242" s="84"/>
      <c r="AF242" s="84"/>
      <c r="AG242" s="84"/>
      <c r="AH242" s="84"/>
      <c r="AI242" s="84"/>
      <c r="AL242" s="84"/>
      <c r="AM242" s="84"/>
      <c r="AN242" s="84"/>
      <c r="AO242" s="84"/>
      <c r="AP242" s="84"/>
      <c r="AQ242" s="84"/>
      <c r="AR242" s="84"/>
      <c r="AS242" s="84"/>
      <c r="AT242" s="84"/>
      <c r="AU242" s="84"/>
      <c r="AV242" s="84"/>
      <c r="AY242" s="84"/>
      <c r="AZ242" s="84"/>
      <c r="BA242" s="84"/>
      <c r="BB242" s="84"/>
      <c r="BC242" s="84"/>
      <c r="BD242" s="84"/>
      <c r="BE242" s="84"/>
      <c r="BF242" s="942"/>
      <c r="BG242" s="942"/>
      <c r="BH242" s="942"/>
      <c r="BI242" s="84"/>
      <c r="BL242" s="84"/>
      <c r="BM242" s="84"/>
      <c r="BN242" s="84"/>
      <c r="BO242" s="84"/>
      <c r="BP242" s="84"/>
      <c r="BQ242" s="84"/>
      <c r="BR242" s="84"/>
      <c r="BS242" s="942"/>
      <c r="BT242" s="942"/>
      <c r="BU242" s="942"/>
      <c r="BV242" s="84"/>
    </row>
    <row r="243" spans="14:74" ht="14.25">
      <c r="N243" s="84"/>
      <c r="O243" s="84"/>
      <c r="P243" s="84"/>
      <c r="Q243" s="84"/>
      <c r="R243" s="84"/>
      <c r="S243" s="84"/>
      <c r="T243" s="84"/>
      <c r="U243" s="84"/>
      <c r="V243" s="84"/>
      <c r="W243" s="84"/>
      <c r="Y243" s="84"/>
      <c r="Z243" s="84"/>
      <c r="AA243" s="84"/>
      <c r="AB243" s="84"/>
      <c r="AC243" s="84"/>
      <c r="AD243" s="84"/>
      <c r="AE243" s="84"/>
      <c r="AF243" s="84"/>
      <c r="AG243" s="84"/>
      <c r="AH243" s="84"/>
      <c r="AI243" s="84"/>
      <c r="AL243" s="84"/>
      <c r="AM243" s="84"/>
      <c r="AN243" s="84"/>
      <c r="AO243" s="84"/>
      <c r="AP243" s="84"/>
      <c r="AQ243" s="84"/>
      <c r="AR243" s="84"/>
      <c r="AS243" s="84"/>
      <c r="AT243" s="84"/>
      <c r="AU243" s="84"/>
      <c r="AV243" s="84"/>
      <c r="AY243" s="84"/>
      <c r="AZ243" s="84"/>
      <c r="BA243" s="84"/>
      <c r="BB243" s="84"/>
      <c r="BC243" s="84"/>
      <c r="BD243" s="84"/>
      <c r="BE243" s="84"/>
      <c r="BF243" s="942"/>
      <c r="BG243" s="942"/>
      <c r="BH243" s="942"/>
      <c r="BI243" s="84"/>
      <c r="BL243" s="84"/>
      <c r="BM243" s="84"/>
      <c r="BN243" s="84"/>
      <c r="BO243" s="84"/>
      <c r="BP243" s="84"/>
      <c r="BQ243" s="84"/>
      <c r="BR243" s="84"/>
      <c r="BS243" s="942"/>
      <c r="BT243" s="942"/>
      <c r="BU243" s="942"/>
      <c r="BV243" s="84"/>
    </row>
    <row r="244" spans="14:74" ht="14.25">
      <c r="N244" s="84"/>
      <c r="O244" s="84"/>
      <c r="P244" s="84"/>
      <c r="Q244" s="84"/>
      <c r="R244" s="84"/>
      <c r="S244" s="84"/>
      <c r="T244" s="84"/>
      <c r="U244" s="84"/>
      <c r="V244" s="84"/>
      <c r="W244" s="84"/>
      <c r="Y244" s="84"/>
      <c r="Z244" s="84"/>
      <c r="AA244" s="84"/>
      <c r="AB244" s="84"/>
      <c r="AC244" s="84"/>
      <c r="AD244" s="84"/>
      <c r="AE244" s="84"/>
      <c r="AF244" s="84"/>
      <c r="AG244" s="84"/>
      <c r="AH244" s="84"/>
      <c r="AI244" s="84"/>
      <c r="AL244" s="84"/>
      <c r="AM244" s="84"/>
      <c r="AN244" s="84"/>
      <c r="AO244" s="84"/>
      <c r="AP244" s="84"/>
      <c r="AQ244" s="84"/>
      <c r="AR244" s="84"/>
      <c r="AS244" s="84"/>
      <c r="AT244" s="84"/>
      <c r="AU244" s="84"/>
      <c r="AV244" s="84"/>
      <c r="AY244" s="84"/>
      <c r="AZ244" s="84"/>
      <c r="BA244" s="84"/>
      <c r="BB244" s="84"/>
      <c r="BC244" s="84"/>
      <c r="BD244" s="84"/>
      <c r="BE244" s="84"/>
      <c r="BF244" s="942"/>
      <c r="BG244" s="942"/>
      <c r="BH244" s="942"/>
      <c r="BI244" s="84"/>
      <c r="BL244" s="84"/>
      <c r="BM244" s="84"/>
      <c r="BN244" s="84"/>
      <c r="BO244" s="84"/>
      <c r="BP244" s="84"/>
      <c r="BQ244" s="84"/>
      <c r="BR244" s="84"/>
      <c r="BS244" s="942"/>
      <c r="BT244" s="942"/>
      <c r="BU244" s="942"/>
      <c r="BV244" s="84"/>
    </row>
    <row r="245" spans="14:74" ht="14.25">
      <c r="N245" s="84"/>
      <c r="O245" s="84"/>
      <c r="P245" s="84"/>
      <c r="Q245" s="84"/>
      <c r="R245" s="84"/>
      <c r="S245" s="84"/>
      <c r="T245" s="84"/>
      <c r="U245" s="84"/>
      <c r="V245" s="84"/>
      <c r="W245" s="84"/>
      <c r="Y245" s="84"/>
      <c r="Z245" s="84"/>
      <c r="AA245" s="84"/>
      <c r="AB245" s="84"/>
      <c r="AC245" s="84"/>
      <c r="AD245" s="84"/>
      <c r="AE245" s="84"/>
      <c r="AF245" s="84"/>
      <c r="AG245" s="84"/>
      <c r="AH245" s="84"/>
      <c r="AI245" s="84"/>
      <c r="AL245" s="84"/>
      <c r="AM245" s="84"/>
      <c r="AN245" s="84"/>
      <c r="AO245" s="84"/>
      <c r="AP245" s="84"/>
      <c r="AQ245" s="84"/>
      <c r="AR245" s="84"/>
      <c r="AS245" s="84"/>
      <c r="AT245" s="84"/>
      <c r="AU245" s="84"/>
      <c r="AV245" s="84"/>
      <c r="AY245" s="84"/>
      <c r="AZ245" s="84"/>
      <c r="BA245" s="84"/>
      <c r="BB245" s="84"/>
      <c r="BC245" s="84"/>
      <c r="BD245" s="84"/>
      <c r="BE245" s="84"/>
      <c r="BF245" s="942"/>
      <c r="BG245" s="942"/>
      <c r="BH245" s="942"/>
      <c r="BI245" s="84"/>
      <c r="BL245" s="84"/>
      <c r="BM245" s="84"/>
      <c r="BN245" s="84"/>
      <c r="BO245" s="84"/>
      <c r="BP245" s="84"/>
      <c r="BQ245" s="84"/>
      <c r="BR245" s="84"/>
      <c r="BS245" s="942"/>
      <c r="BT245" s="942"/>
      <c r="BU245" s="942"/>
      <c r="BV245" s="84"/>
    </row>
    <row r="246" spans="14:74" ht="14.25">
      <c r="N246" s="84"/>
      <c r="O246" s="84"/>
      <c r="P246" s="84"/>
      <c r="Q246" s="84"/>
      <c r="R246" s="84"/>
      <c r="S246" s="84"/>
      <c r="T246" s="84"/>
      <c r="U246" s="84"/>
      <c r="V246" s="84"/>
      <c r="W246" s="84"/>
      <c r="Y246" s="84"/>
      <c r="Z246" s="84"/>
      <c r="AA246" s="84"/>
      <c r="AB246" s="84"/>
      <c r="AC246" s="84"/>
      <c r="AD246" s="84"/>
      <c r="AE246" s="84"/>
      <c r="AF246" s="84"/>
      <c r="AG246" s="84"/>
      <c r="AH246" s="84"/>
      <c r="AI246" s="84"/>
      <c r="AL246" s="84"/>
      <c r="AM246" s="84"/>
      <c r="AN246" s="84"/>
      <c r="AO246" s="84"/>
      <c r="AP246" s="84"/>
      <c r="AQ246" s="84"/>
      <c r="AR246" s="84"/>
      <c r="AS246" s="84"/>
      <c r="AT246" s="84"/>
      <c r="AU246" s="84"/>
      <c r="AV246" s="84"/>
      <c r="AY246" s="84"/>
      <c r="AZ246" s="84"/>
      <c r="BA246" s="84"/>
      <c r="BB246" s="84"/>
      <c r="BC246" s="84"/>
      <c r="BD246" s="84"/>
      <c r="BE246" s="84"/>
      <c r="BF246" s="942"/>
      <c r="BG246" s="942"/>
      <c r="BH246" s="942"/>
      <c r="BI246" s="84"/>
      <c r="BL246" s="84"/>
      <c r="BM246" s="84"/>
      <c r="BN246" s="84"/>
      <c r="BO246" s="84"/>
      <c r="BP246" s="84"/>
      <c r="BQ246" s="84"/>
      <c r="BR246" s="84"/>
      <c r="BS246" s="942"/>
      <c r="BT246" s="942"/>
      <c r="BU246" s="942"/>
      <c r="BV246" s="84"/>
    </row>
    <row r="247" spans="14:74" ht="14.25">
      <c r="N247" s="84"/>
      <c r="O247" s="84"/>
      <c r="P247" s="84"/>
      <c r="Q247" s="84"/>
      <c r="R247" s="84"/>
      <c r="S247" s="84"/>
      <c r="T247" s="84"/>
      <c r="U247" s="84"/>
      <c r="V247" s="84"/>
      <c r="W247" s="84"/>
      <c r="Y247" s="84"/>
      <c r="Z247" s="84"/>
      <c r="AA247" s="84"/>
      <c r="AB247" s="84"/>
      <c r="AC247" s="84"/>
      <c r="AD247" s="84"/>
      <c r="AE247" s="84"/>
      <c r="AF247" s="84"/>
      <c r="AG247" s="84"/>
      <c r="AH247" s="84"/>
      <c r="AI247" s="84"/>
      <c r="AL247" s="84"/>
      <c r="AM247" s="84"/>
      <c r="AN247" s="84"/>
      <c r="AO247" s="84"/>
      <c r="AP247" s="84"/>
      <c r="AQ247" s="84"/>
      <c r="AR247" s="84"/>
      <c r="AS247" s="84"/>
      <c r="AT247" s="84"/>
      <c r="AU247" s="84"/>
      <c r="AV247" s="84"/>
      <c r="AY247" s="84"/>
      <c r="AZ247" s="84"/>
      <c r="BA247" s="84"/>
      <c r="BB247" s="84"/>
      <c r="BC247" s="84"/>
      <c r="BD247" s="84"/>
      <c r="BE247" s="84"/>
      <c r="BF247" s="942"/>
      <c r="BG247" s="942"/>
      <c r="BH247" s="942"/>
      <c r="BI247" s="84"/>
      <c r="BL247" s="84"/>
      <c r="BM247" s="84"/>
      <c r="BN247" s="84"/>
      <c r="BO247" s="84"/>
      <c r="BP247" s="84"/>
      <c r="BQ247" s="84"/>
      <c r="BR247" s="84"/>
      <c r="BS247" s="942"/>
      <c r="BT247" s="942"/>
      <c r="BU247" s="942"/>
      <c r="BV247" s="84"/>
    </row>
    <row r="248" spans="14:74" ht="14.25">
      <c r="N248" s="84"/>
      <c r="O248" s="84"/>
      <c r="P248" s="84"/>
      <c r="Q248" s="84"/>
      <c r="R248" s="84"/>
      <c r="S248" s="84"/>
      <c r="T248" s="84"/>
      <c r="U248" s="84"/>
      <c r="V248" s="84"/>
      <c r="W248" s="84"/>
      <c r="Y248" s="84"/>
      <c r="Z248" s="84"/>
      <c r="AA248" s="84"/>
      <c r="AB248" s="84"/>
      <c r="AC248" s="84"/>
      <c r="AD248" s="84"/>
      <c r="AE248" s="84"/>
      <c r="AF248" s="84"/>
      <c r="AG248" s="84"/>
      <c r="AH248" s="84"/>
      <c r="AI248" s="84"/>
      <c r="AL248" s="84"/>
      <c r="AM248" s="84"/>
      <c r="AN248" s="84"/>
      <c r="AO248" s="84"/>
      <c r="AP248" s="84"/>
      <c r="AQ248" s="84"/>
      <c r="AR248" s="84"/>
      <c r="AS248" s="84"/>
      <c r="AT248" s="84"/>
      <c r="AU248" s="84"/>
      <c r="AV248" s="84"/>
      <c r="AY248" s="84"/>
      <c r="AZ248" s="84"/>
      <c r="BA248" s="84"/>
      <c r="BB248" s="84"/>
      <c r="BC248" s="84"/>
      <c r="BD248" s="84"/>
      <c r="BE248" s="84"/>
      <c r="BF248" s="942"/>
      <c r="BG248" s="942"/>
      <c r="BH248" s="942"/>
      <c r="BI248" s="84"/>
      <c r="BL248" s="84"/>
      <c r="BM248" s="84"/>
      <c r="BN248" s="84"/>
      <c r="BO248" s="84"/>
      <c r="BP248" s="84"/>
      <c r="BQ248" s="84"/>
      <c r="BR248" s="84"/>
      <c r="BS248" s="942"/>
      <c r="BT248" s="942"/>
      <c r="BU248" s="942"/>
      <c r="BV248" s="84"/>
    </row>
    <row r="249" spans="14:74" ht="14.25">
      <c r="N249" s="84"/>
      <c r="O249" s="84"/>
      <c r="P249" s="84"/>
      <c r="Q249" s="84"/>
      <c r="R249" s="84"/>
      <c r="S249" s="84"/>
      <c r="T249" s="84"/>
      <c r="U249" s="84"/>
      <c r="V249" s="84"/>
      <c r="W249" s="84"/>
      <c r="Y249" s="84"/>
      <c r="Z249" s="84"/>
      <c r="AA249" s="84"/>
      <c r="AB249" s="84"/>
      <c r="AC249" s="84"/>
      <c r="AD249" s="84"/>
      <c r="AE249" s="84"/>
      <c r="AF249" s="84"/>
      <c r="AG249" s="84"/>
      <c r="AH249" s="84"/>
      <c r="AI249" s="84"/>
      <c r="AL249" s="84"/>
      <c r="AM249" s="84"/>
      <c r="AN249" s="84"/>
      <c r="AO249" s="84"/>
      <c r="AP249" s="84"/>
      <c r="AQ249" s="84"/>
      <c r="AR249" s="84"/>
      <c r="AS249" s="84"/>
      <c r="AT249" s="84"/>
      <c r="AU249" s="84"/>
      <c r="AV249" s="84"/>
      <c r="AY249" s="84"/>
      <c r="AZ249" s="84"/>
      <c r="BA249" s="84"/>
      <c r="BB249" s="84"/>
      <c r="BC249" s="84"/>
      <c r="BD249" s="84"/>
      <c r="BE249" s="84"/>
      <c r="BF249" s="942"/>
      <c r="BG249" s="942"/>
      <c r="BH249" s="942"/>
      <c r="BI249" s="84"/>
      <c r="BL249" s="84"/>
      <c r="BM249" s="84"/>
      <c r="BN249" s="84"/>
      <c r="BO249" s="84"/>
      <c r="BP249" s="84"/>
      <c r="BQ249" s="84"/>
      <c r="BR249" s="84"/>
      <c r="BS249" s="942"/>
      <c r="BT249" s="942"/>
      <c r="BU249" s="942"/>
      <c r="BV249" s="84"/>
    </row>
    <row r="250" spans="14:74" ht="14.25">
      <c r="N250" s="84"/>
      <c r="O250" s="84"/>
      <c r="P250" s="84"/>
      <c r="Q250" s="84"/>
      <c r="R250" s="84"/>
      <c r="S250" s="84"/>
      <c r="T250" s="84"/>
      <c r="U250" s="84"/>
      <c r="V250" s="84"/>
      <c r="W250" s="84"/>
      <c r="Y250" s="84"/>
      <c r="Z250" s="84"/>
      <c r="AA250" s="84"/>
      <c r="AB250" s="84"/>
      <c r="AC250" s="84"/>
      <c r="AD250" s="84"/>
      <c r="AE250" s="84"/>
      <c r="AF250" s="84"/>
      <c r="AG250" s="84"/>
      <c r="AH250" s="84"/>
      <c r="AI250" s="84"/>
      <c r="AL250" s="84"/>
      <c r="AM250" s="84"/>
      <c r="AN250" s="84"/>
      <c r="AO250" s="84"/>
      <c r="AP250" s="84"/>
      <c r="AQ250" s="84"/>
      <c r="AR250" s="84"/>
      <c r="AS250" s="84"/>
      <c r="AT250" s="84"/>
      <c r="AU250" s="84"/>
      <c r="AV250" s="84"/>
      <c r="AY250" s="84"/>
      <c r="AZ250" s="84"/>
      <c r="BA250" s="84"/>
      <c r="BB250" s="84"/>
      <c r="BC250" s="84"/>
      <c r="BD250" s="84"/>
      <c r="BE250" s="84"/>
      <c r="BF250" s="942"/>
      <c r="BG250" s="942"/>
      <c r="BH250" s="942"/>
      <c r="BI250" s="84"/>
      <c r="BL250" s="84"/>
      <c r="BM250" s="84"/>
      <c r="BN250" s="84"/>
      <c r="BO250" s="84"/>
      <c r="BP250" s="84"/>
      <c r="BQ250" s="84"/>
      <c r="BR250" s="84"/>
      <c r="BS250" s="942"/>
      <c r="BT250" s="942"/>
      <c r="BU250" s="942"/>
      <c r="BV250" s="84"/>
    </row>
    <row r="251" spans="14:74" ht="14.25">
      <c r="N251" s="84"/>
      <c r="O251" s="84"/>
      <c r="P251" s="84"/>
      <c r="Q251" s="84"/>
      <c r="R251" s="84"/>
      <c r="S251" s="84"/>
      <c r="T251" s="84"/>
      <c r="U251" s="84"/>
      <c r="V251" s="84"/>
      <c r="W251" s="84"/>
      <c r="Y251" s="84"/>
      <c r="Z251" s="84"/>
      <c r="AA251" s="84"/>
      <c r="AB251" s="84"/>
      <c r="AC251" s="84"/>
      <c r="AD251" s="84"/>
      <c r="AE251" s="84"/>
      <c r="AF251" s="84"/>
      <c r="AG251" s="84"/>
      <c r="AH251" s="84"/>
      <c r="AI251" s="84"/>
      <c r="AL251" s="84"/>
      <c r="AM251" s="84"/>
      <c r="AN251" s="84"/>
      <c r="AO251" s="84"/>
      <c r="AP251" s="84"/>
      <c r="AQ251" s="84"/>
      <c r="AR251" s="84"/>
      <c r="AS251" s="84"/>
      <c r="AT251" s="84"/>
      <c r="AU251" s="84"/>
      <c r="AV251" s="84"/>
      <c r="AY251" s="84"/>
      <c r="AZ251" s="84"/>
      <c r="BA251" s="84"/>
      <c r="BB251" s="84"/>
      <c r="BC251" s="84"/>
      <c r="BD251" s="84"/>
      <c r="BE251" s="84"/>
      <c r="BF251" s="942"/>
      <c r="BG251" s="942"/>
      <c r="BH251" s="942"/>
      <c r="BI251" s="84"/>
      <c r="BL251" s="84"/>
      <c r="BM251" s="84"/>
      <c r="BN251" s="84"/>
      <c r="BO251" s="84"/>
      <c r="BP251" s="84"/>
      <c r="BQ251" s="84"/>
      <c r="BR251" s="84"/>
      <c r="BS251" s="942"/>
      <c r="BT251" s="942"/>
      <c r="BU251" s="942"/>
      <c r="BV251" s="84"/>
    </row>
    <row r="252" spans="14:74" ht="14.25">
      <c r="N252" s="84"/>
      <c r="O252" s="84"/>
      <c r="P252" s="84"/>
      <c r="Q252" s="84"/>
      <c r="R252" s="84"/>
      <c r="S252" s="84"/>
      <c r="T252" s="84"/>
      <c r="U252" s="84"/>
      <c r="V252" s="84"/>
      <c r="W252" s="84"/>
      <c r="Y252" s="84"/>
      <c r="Z252" s="84"/>
      <c r="AA252" s="84"/>
      <c r="AB252" s="84"/>
      <c r="AC252" s="84"/>
      <c r="AD252" s="84"/>
      <c r="AE252" s="84"/>
      <c r="AF252" s="84"/>
      <c r="AG252" s="84"/>
      <c r="AH252" s="84"/>
      <c r="AI252" s="84"/>
      <c r="AL252" s="84"/>
      <c r="AM252" s="84"/>
      <c r="AN252" s="84"/>
      <c r="AO252" s="84"/>
      <c r="AP252" s="84"/>
      <c r="AQ252" s="84"/>
      <c r="AR252" s="84"/>
      <c r="AS252" s="84"/>
      <c r="AT252" s="84"/>
      <c r="AU252" s="84"/>
      <c r="AV252" s="84"/>
      <c r="AY252" s="84"/>
      <c r="AZ252" s="84"/>
      <c r="BA252" s="84"/>
      <c r="BB252" s="84"/>
      <c r="BC252" s="84"/>
      <c r="BD252" s="84"/>
      <c r="BE252" s="84"/>
      <c r="BF252" s="942"/>
      <c r="BG252" s="942"/>
      <c r="BH252" s="942"/>
      <c r="BI252" s="84"/>
      <c r="BL252" s="84"/>
      <c r="BM252" s="84"/>
      <c r="BN252" s="84"/>
      <c r="BO252" s="84"/>
      <c r="BP252" s="84"/>
      <c r="BQ252" s="84"/>
      <c r="BR252" s="84"/>
      <c r="BS252" s="942"/>
      <c r="BT252" s="942"/>
      <c r="BU252" s="942"/>
      <c r="BV252" s="84"/>
    </row>
    <row r="253" spans="14:74" ht="14.25">
      <c r="N253" s="84"/>
      <c r="O253" s="84"/>
      <c r="P253" s="84"/>
      <c r="Q253" s="84"/>
      <c r="R253" s="84"/>
      <c r="S253" s="84"/>
      <c r="T253" s="84"/>
      <c r="U253" s="84"/>
      <c r="V253" s="84"/>
      <c r="W253" s="84"/>
      <c r="Y253" s="84"/>
      <c r="Z253" s="84"/>
      <c r="AA253" s="84"/>
      <c r="AB253" s="84"/>
      <c r="AC253" s="84"/>
      <c r="AD253" s="84"/>
      <c r="AE253" s="84"/>
      <c r="AF253" s="84"/>
      <c r="AG253" s="84"/>
      <c r="AH253" s="84"/>
      <c r="AI253" s="84"/>
      <c r="AL253" s="84"/>
      <c r="AM253" s="84"/>
      <c r="AN253" s="84"/>
      <c r="AO253" s="84"/>
      <c r="AP253" s="84"/>
      <c r="AQ253" s="84"/>
      <c r="AR253" s="84"/>
      <c r="AS253" s="84"/>
      <c r="AT253" s="84"/>
      <c r="AU253" s="84"/>
      <c r="AV253" s="84"/>
      <c r="AY253" s="84"/>
      <c r="AZ253" s="84"/>
      <c r="BA253" s="84"/>
      <c r="BB253" s="84"/>
      <c r="BC253" s="84"/>
      <c r="BD253" s="84"/>
      <c r="BE253" s="84"/>
      <c r="BF253" s="942"/>
      <c r="BG253" s="942"/>
      <c r="BH253" s="942"/>
      <c r="BI253" s="84"/>
      <c r="BL253" s="84"/>
      <c r="BM253" s="84"/>
      <c r="BN253" s="84"/>
      <c r="BO253" s="84"/>
      <c r="BP253" s="84"/>
      <c r="BQ253" s="84"/>
      <c r="BR253" s="84"/>
      <c r="BS253" s="942"/>
      <c r="BT253" s="942"/>
      <c r="BU253" s="942"/>
      <c r="BV253" s="84"/>
    </row>
    <row r="254" spans="14:74" ht="14.25">
      <c r="N254" s="84"/>
      <c r="O254" s="84"/>
      <c r="P254" s="84"/>
      <c r="Q254" s="84"/>
      <c r="R254" s="84"/>
      <c r="S254" s="84"/>
      <c r="T254" s="84"/>
      <c r="U254" s="84"/>
      <c r="V254" s="84"/>
      <c r="W254" s="84"/>
      <c r="Y254" s="84"/>
      <c r="Z254" s="84"/>
      <c r="AA254" s="84"/>
      <c r="AB254" s="84"/>
      <c r="AC254" s="84"/>
      <c r="AD254" s="84"/>
      <c r="AE254" s="84"/>
      <c r="AF254" s="84"/>
      <c r="AG254" s="84"/>
      <c r="AH254" s="84"/>
      <c r="AI254" s="84"/>
      <c r="AL254" s="84"/>
      <c r="AM254" s="84"/>
      <c r="AN254" s="84"/>
      <c r="AO254" s="84"/>
      <c r="AP254" s="84"/>
      <c r="AQ254" s="84"/>
      <c r="AR254" s="84"/>
      <c r="AS254" s="84"/>
      <c r="AT254" s="84"/>
      <c r="AU254" s="84"/>
      <c r="AV254" s="84"/>
      <c r="AY254" s="84"/>
      <c r="AZ254" s="84"/>
      <c r="BA254" s="84"/>
      <c r="BB254" s="84"/>
      <c r="BC254" s="84"/>
      <c r="BD254" s="84"/>
      <c r="BE254" s="84"/>
      <c r="BF254" s="942"/>
      <c r="BG254" s="942"/>
      <c r="BH254" s="942"/>
      <c r="BI254" s="84"/>
      <c r="BL254" s="84"/>
      <c r="BM254" s="84"/>
      <c r="BN254" s="84"/>
      <c r="BO254" s="84"/>
      <c r="BP254" s="84"/>
      <c r="BQ254" s="84"/>
      <c r="BR254" s="84"/>
      <c r="BS254" s="942"/>
      <c r="BT254" s="942"/>
      <c r="BU254" s="942"/>
      <c r="BV254" s="84"/>
    </row>
    <row r="255" spans="14:74" ht="14.25">
      <c r="N255" s="84"/>
      <c r="O255" s="84"/>
      <c r="P255" s="84"/>
      <c r="Q255" s="84"/>
      <c r="R255" s="84"/>
      <c r="S255" s="84"/>
      <c r="T255" s="84"/>
      <c r="U255" s="84"/>
      <c r="V255" s="84"/>
      <c r="W255" s="84"/>
      <c r="Y255" s="84"/>
      <c r="Z255" s="84"/>
      <c r="AA255" s="84"/>
      <c r="AB255" s="84"/>
      <c r="AC255" s="84"/>
      <c r="AD255" s="84"/>
      <c r="AE255" s="84"/>
      <c r="AF255" s="84"/>
      <c r="AG255" s="84"/>
      <c r="AH255" s="84"/>
      <c r="AI255" s="84"/>
      <c r="AL255" s="84"/>
      <c r="AM255" s="84"/>
      <c r="AN255" s="84"/>
      <c r="AO255" s="84"/>
      <c r="AP255" s="84"/>
      <c r="AQ255" s="84"/>
      <c r="AR255" s="84"/>
      <c r="AS255" s="84"/>
      <c r="AT255" s="84"/>
      <c r="AU255" s="84"/>
      <c r="AV255" s="84"/>
      <c r="AY255" s="84"/>
      <c r="AZ255" s="84"/>
      <c r="BA255" s="84"/>
      <c r="BB255" s="84"/>
      <c r="BC255" s="84"/>
      <c r="BD255" s="84"/>
      <c r="BE255" s="84"/>
      <c r="BF255" s="942"/>
      <c r="BG255" s="942"/>
      <c r="BH255" s="942"/>
      <c r="BI255" s="84"/>
      <c r="BL255" s="84"/>
      <c r="BM255" s="84"/>
      <c r="BN255" s="84"/>
      <c r="BO255" s="84"/>
      <c r="BP255" s="84"/>
      <c r="BQ255" s="84"/>
      <c r="BR255" s="84"/>
      <c r="BS255" s="942"/>
      <c r="BT255" s="942"/>
      <c r="BU255" s="942"/>
      <c r="BV255" s="84"/>
    </row>
    <row r="256" spans="14:74" ht="14.25">
      <c r="N256" s="84"/>
      <c r="O256" s="84"/>
      <c r="P256" s="84"/>
      <c r="Q256" s="84"/>
      <c r="R256" s="84"/>
      <c r="S256" s="84"/>
      <c r="T256" s="84"/>
      <c r="U256" s="84"/>
      <c r="V256" s="84"/>
      <c r="W256" s="84"/>
      <c r="Y256" s="84"/>
      <c r="Z256" s="84"/>
      <c r="AA256" s="84"/>
      <c r="AB256" s="84"/>
      <c r="AC256" s="84"/>
      <c r="AD256" s="84"/>
      <c r="AE256" s="84"/>
      <c r="AF256" s="84"/>
      <c r="AG256" s="84"/>
      <c r="AH256" s="84"/>
      <c r="AI256" s="84"/>
      <c r="AL256" s="84"/>
      <c r="AM256" s="84"/>
      <c r="AN256" s="84"/>
      <c r="AO256" s="84"/>
      <c r="AP256" s="84"/>
      <c r="AQ256" s="84"/>
      <c r="AR256" s="84"/>
      <c r="AS256" s="84"/>
      <c r="AT256" s="84"/>
      <c r="AU256" s="84"/>
      <c r="AV256" s="84"/>
      <c r="AY256" s="84"/>
      <c r="AZ256" s="84"/>
      <c r="BA256" s="84"/>
      <c r="BB256" s="84"/>
      <c r="BC256" s="84"/>
      <c r="BD256" s="84"/>
      <c r="BE256" s="84"/>
      <c r="BF256" s="942"/>
      <c r="BG256" s="942"/>
      <c r="BH256" s="942"/>
      <c r="BI256" s="84"/>
      <c r="BL256" s="84"/>
      <c r="BM256" s="84"/>
      <c r="BN256" s="84"/>
      <c r="BO256" s="84"/>
      <c r="BP256" s="84"/>
      <c r="BQ256" s="84"/>
      <c r="BR256" s="84"/>
      <c r="BS256" s="942"/>
      <c r="BT256" s="942"/>
      <c r="BU256" s="942"/>
      <c r="BV256" s="84"/>
    </row>
    <row r="257" spans="14:74" ht="14.25">
      <c r="N257" s="84"/>
      <c r="O257" s="84"/>
      <c r="P257" s="84"/>
      <c r="Q257" s="84"/>
      <c r="R257" s="84"/>
      <c r="S257" s="84"/>
      <c r="T257" s="84"/>
      <c r="U257" s="84"/>
      <c r="V257" s="84"/>
      <c r="W257" s="84"/>
      <c r="Y257" s="84"/>
      <c r="Z257" s="84"/>
      <c r="AA257" s="84"/>
      <c r="AB257" s="84"/>
      <c r="AC257" s="84"/>
      <c r="AD257" s="84"/>
      <c r="AE257" s="84"/>
      <c r="AF257" s="84"/>
      <c r="AG257" s="84"/>
      <c r="AH257" s="84"/>
      <c r="AI257" s="84"/>
      <c r="AL257" s="84"/>
      <c r="AM257" s="84"/>
      <c r="AN257" s="84"/>
      <c r="AO257" s="84"/>
      <c r="AP257" s="84"/>
      <c r="AQ257" s="84"/>
      <c r="AR257" s="84"/>
      <c r="AS257" s="84"/>
      <c r="AT257" s="84"/>
      <c r="AU257" s="84"/>
      <c r="AV257" s="84"/>
      <c r="AY257" s="84"/>
      <c r="AZ257" s="84"/>
      <c r="BA257" s="84"/>
      <c r="BB257" s="84"/>
      <c r="BC257" s="84"/>
      <c r="BD257" s="84"/>
      <c r="BE257" s="84"/>
      <c r="BF257" s="942"/>
      <c r="BG257" s="942"/>
      <c r="BH257" s="942"/>
      <c r="BI257" s="84"/>
      <c r="BL257" s="84"/>
      <c r="BM257" s="84"/>
      <c r="BN257" s="84"/>
      <c r="BO257" s="84"/>
      <c r="BP257" s="84"/>
      <c r="BQ257" s="84"/>
      <c r="BR257" s="84"/>
      <c r="BS257" s="942"/>
      <c r="BT257" s="942"/>
      <c r="BU257" s="942"/>
      <c r="BV257" s="84"/>
    </row>
    <row r="258" spans="14:74" ht="14.25">
      <c r="N258" s="84"/>
      <c r="O258" s="84"/>
      <c r="P258" s="84"/>
      <c r="Q258" s="84"/>
      <c r="R258" s="84"/>
      <c r="S258" s="84"/>
      <c r="T258" s="84"/>
      <c r="U258" s="84"/>
      <c r="V258" s="84"/>
      <c r="W258" s="84"/>
      <c r="Y258" s="84"/>
      <c r="Z258" s="84"/>
      <c r="AA258" s="84"/>
      <c r="AB258" s="84"/>
      <c r="AC258" s="84"/>
      <c r="AD258" s="84"/>
      <c r="AE258" s="84"/>
      <c r="AF258" s="84"/>
      <c r="AG258" s="84"/>
      <c r="AH258" s="84"/>
      <c r="AI258" s="84"/>
      <c r="AL258" s="84"/>
      <c r="AM258" s="84"/>
      <c r="AN258" s="84"/>
      <c r="AO258" s="84"/>
      <c r="AP258" s="84"/>
      <c r="AQ258" s="84"/>
      <c r="AR258" s="84"/>
      <c r="AS258" s="84"/>
      <c r="AT258" s="84"/>
      <c r="AU258" s="84"/>
      <c r="AV258" s="84"/>
      <c r="AY258" s="84"/>
      <c r="AZ258" s="84"/>
      <c r="BA258" s="84"/>
      <c r="BB258" s="84"/>
      <c r="BC258" s="84"/>
      <c r="BD258" s="84"/>
      <c r="BE258" s="84"/>
      <c r="BF258" s="942"/>
      <c r="BG258" s="942"/>
      <c r="BH258" s="942"/>
      <c r="BI258" s="84"/>
      <c r="BL258" s="84"/>
      <c r="BM258" s="84"/>
      <c r="BN258" s="84"/>
      <c r="BO258" s="84"/>
      <c r="BP258" s="84"/>
      <c r="BQ258" s="84"/>
      <c r="BR258" s="84"/>
      <c r="BS258" s="942"/>
      <c r="BT258" s="942"/>
      <c r="BU258" s="942"/>
      <c r="BV258" s="84"/>
    </row>
    <row r="259" spans="14:74" ht="14.25">
      <c r="N259" s="84"/>
      <c r="O259" s="84"/>
      <c r="P259" s="84"/>
      <c r="Q259" s="84"/>
      <c r="R259" s="84"/>
      <c r="S259" s="84"/>
      <c r="T259" s="84"/>
      <c r="U259" s="84"/>
      <c r="V259" s="84"/>
      <c r="W259" s="84"/>
      <c r="Y259" s="84"/>
      <c r="Z259" s="84"/>
      <c r="AA259" s="84"/>
      <c r="AB259" s="84"/>
      <c r="AC259" s="84"/>
      <c r="AD259" s="84"/>
      <c r="AE259" s="84"/>
      <c r="AF259" s="84"/>
      <c r="AG259" s="84"/>
      <c r="AH259" s="84"/>
      <c r="AI259" s="84"/>
      <c r="AL259" s="84"/>
      <c r="AM259" s="84"/>
      <c r="AN259" s="84"/>
      <c r="AO259" s="84"/>
      <c r="AP259" s="84"/>
      <c r="AQ259" s="84"/>
      <c r="AR259" s="84"/>
      <c r="AS259" s="84"/>
      <c r="AT259" s="84"/>
      <c r="AU259" s="84"/>
      <c r="AV259" s="84"/>
      <c r="AY259" s="84"/>
      <c r="AZ259" s="84"/>
      <c r="BA259" s="84"/>
      <c r="BB259" s="84"/>
      <c r="BC259" s="84"/>
      <c r="BD259" s="84"/>
      <c r="BE259" s="84"/>
      <c r="BF259" s="942"/>
      <c r="BG259" s="942"/>
      <c r="BH259" s="942"/>
      <c r="BI259" s="84"/>
      <c r="BL259" s="84"/>
      <c r="BM259" s="84"/>
      <c r="BN259" s="84"/>
      <c r="BO259" s="84"/>
      <c r="BP259" s="84"/>
      <c r="BQ259" s="84"/>
      <c r="BR259" s="84"/>
      <c r="BS259" s="942"/>
      <c r="BT259" s="942"/>
      <c r="BU259" s="942"/>
      <c r="BV259" s="84"/>
    </row>
    <row r="260" spans="14:74" ht="14.25">
      <c r="N260" s="84"/>
      <c r="O260" s="84"/>
      <c r="P260" s="84"/>
      <c r="Q260" s="84"/>
      <c r="R260" s="84"/>
      <c r="S260" s="84"/>
      <c r="T260" s="84"/>
      <c r="U260" s="84"/>
      <c r="V260" s="84"/>
      <c r="W260" s="84"/>
      <c r="Y260" s="84"/>
      <c r="Z260" s="84"/>
      <c r="AA260" s="84"/>
      <c r="AB260" s="84"/>
      <c r="AC260" s="84"/>
      <c r="AD260" s="84"/>
      <c r="AE260" s="84"/>
      <c r="AF260" s="84"/>
      <c r="AG260" s="84"/>
      <c r="AH260" s="84"/>
      <c r="AI260" s="84"/>
      <c r="AL260" s="84"/>
      <c r="AM260" s="84"/>
      <c r="AN260" s="84"/>
      <c r="AO260" s="84"/>
      <c r="AP260" s="84"/>
      <c r="AQ260" s="84"/>
      <c r="AR260" s="84"/>
      <c r="AS260" s="84"/>
      <c r="AT260" s="84"/>
      <c r="AU260" s="84"/>
      <c r="AV260" s="84"/>
      <c r="AY260" s="84"/>
      <c r="AZ260" s="84"/>
      <c r="BA260" s="84"/>
      <c r="BB260" s="84"/>
      <c r="BC260" s="84"/>
      <c r="BD260" s="84"/>
      <c r="BE260" s="84"/>
      <c r="BF260" s="942"/>
      <c r="BG260" s="942"/>
      <c r="BH260" s="942"/>
      <c r="BI260" s="84"/>
      <c r="BL260" s="84"/>
      <c r="BM260" s="84"/>
      <c r="BN260" s="84"/>
      <c r="BO260" s="84"/>
      <c r="BP260" s="84"/>
      <c r="BQ260" s="84"/>
      <c r="BR260" s="84"/>
      <c r="BS260" s="942"/>
      <c r="BT260" s="942"/>
      <c r="BU260" s="942"/>
      <c r="BV260" s="84"/>
    </row>
    <row r="261" spans="14:74" ht="14.25">
      <c r="N261" s="84"/>
      <c r="O261" s="84"/>
      <c r="P261" s="84"/>
      <c r="Q261" s="84"/>
      <c r="R261" s="84"/>
      <c r="S261" s="84"/>
      <c r="T261" s="84"/>
      <c r="U261" s="84"/>
      <c r="V261" s="84"/>
      <c r="W261" s="84"/>
      <c r="Y261" s="84"/>
      <c r="Z261" s="84"/>
      <c r="AA261" s="84"/>
      <c r="AB261" s="84"/>
      <c r="AC261" s="84"/>
      <c r="AD261" s="84"/>
      <c r="AE261" s="84"/>
      <c r="AF261" s="84"/>
      <c r="AG261" s="84"/>
      <c r="AH261" s="84"/>
      <c r="AI261" s="84"/>
      <c r="AL261" s="84"/>
      <c r="AM261" s="84"/>
      <c r="AN261" s="84"/>
      <c r="AO261" s="84"/>
      <c r="AP261" s="84"/>
      <c r="AQ261" s="84"/>
      <c r="AR261" s="84"/>
      <c r="AS261" s="84"/>
      <c r="AT261" s="84"/>
      <c r="AU261" s="84"/>
      <c r="AV261" s="84"/>
      <c r="AY261" s="84"/>
      <c r="AZ261" s="84"/>
      <c r="BA261" s="84"/>
      <c r="BB261" s="84"/>
      <c r="BC261" s="84"/>
      <c r="BD261" s="84"/>
      <c r="BE261" s="84"/>
      <c r="BF261" s="942"/>
      <c r="BG261" s="942"/>
      <c r="BH261" s="942"/>
      <c r="BI261" s="84"/>
      <c r="BL261" s="84"/>
      <c r="BM261" s="84"/>
      <c r="BN261" s="84"/>
      <c r="BO261" s="84"/>
      <c r="BP261" s="84"/>
      <c r="BQ261" s="84"/>
      <c r="BR261" s="84"/>
      <c r="BS261" s="942"/>
      <c r="BT261" s="942"/>
      <c r="BU261" s="942"/>
      <c r="BV261" s="84"/>
    </row>
    <row r="262" spans="14:74" ht="14.25">
      <c r="N262" s="84"/>
      <c r="O262" s="84"/>
      <c r="P262" s="84"/>
      <c r="Q262" s="84"/>
      <c r="R262" s="84"/>
      <c r="S262" s="84"/>
      <c r="T262" s="84"/>
      <c r="U262" s="84"/>
      <c r="V262" s="84"/>
      <c r="W262" s="84"/>
      <c r="Y262" s="84"/>
      <c r="Z262" s="84"/>
      <c r="AA262" s="84"/>
      <c r="AB262" s="84"/>
      <c r="AC262" s="84"/>
      <c r="AD262" s="84"/>
      <c r="AE262" s="84"/>
      <c r="AF262" s="84"/>
      <c r="AG262" s="84"/>
      <c r="AH262" s="84"/>
      <c r="AI262" s="84"/>
      <c r="AL262" s="84"/>
      <c r="AM262" s="84"/>
      <c r="AN262" s="84"/>
      <c r="AO262" s="84"/>
      <c r="AP262" s="84"/>
      <c r="AQ262" s="84"/>
      <c r="AR262" s="84"/>
      <c r="AS262" s="84"/>
      <c r="AT262" s="84"/>
      <c r="AU262" s="84"/>
      <c r="AV262" s="84"/>
      <c r="AY262" s="84"/>
      <c r="AZ262" s="84"/>
      <c r="BA262" s="84"/>
      <c r="BB262" s="84"/>
      <c r="BC262" s="84"/>
      <c r="BD262" s="84"/>
      <c r="BE262" s="84"/>
      <c r="BF262" s="942"/>
      <c r="BG262" s="942"/>
      <c r="BH262" s="942"/>
      <c r="BI262" s="84"/>
      <c r="BL262" s="84"/>
      <c r="BM262" s="84"/>
      <c r="BN262" s="84"/>
      <c r="BO262" s="84"/>
      <c r="BP262" s="84"/>
      <c r="BQ262" s="84"/>
      <c r="BR262" s="84"/>
      <c r="BS262" s="942"/>
      <c r="BT262" s="942"/>
      <c r="BU262" s="942"/>
      <c r="BV262" s="84"/>
    </row>
    <row r="263" spans="14:74" ht="14.25">
      <c r="N263" s="84"/>
      <c r="O263" s="84"/>
      <c r="P263" s="84"/>
      <c r="Q263" s="84"/>
      <c r="R263" s="84"/>
      <c r="S263" s="84"/>
      <c r="T263" s="84"/>
      <c r="U263" s="84"/>
      <c r="V263" s="84"/>
      <c r="W263" s="84"/>
      <c r="Y263" s="84"/>
      <c r="Z263" s="84"/>
      <c r="AA263" s="84"/>
      <c r="AB263" s="84"/>
      <c r="AC263" s="84"/>
      <c r="AD263" s="84"/>
      <c r="AE263" s="84"/>
      <c r="AF263" s="84"/>
      <c r="AG263" s="84"/>
      <c r="AH263" s="84"/>
      <c r="AI263" s="84"/>
      <c r="AL263" s="84"/>
      <c r="AM263" s="84"/>
      <c r="AN263" s="84"/>
      <c r="AO263" s="84"/>
      <c r="AP263" s="84"/>
      <c r="AQ263" s="84"/>
      <c r="AR263" s="84"/>
      <c r="AS263" s="84"/>
      <c r="AT263" s="84"/>
      <c r="AU263" s="84"/>
      <c r="AV263" s="84"/>
      <c r="AY263" s="84"/>
      <c r="AZ263" s="84"/>
      <c r="BA263" s="84"/>
      <c r="BB263" s="84"/>
      <c r="BC263" s="84"/>
      <c r="BD263" s="84"/>
      <c r="BE263" s="84"/>
      <c r="BF263" s="942"/>
      <c r="BG263" s="942"/>
      <c r="BH263" s="942"/>
      <c r="BI263" s="84"/>
      <c r="BL263" s="84"/>
      <c r="BM263" s="84"/>
      <c r="BN263" s="84"/>
      <c r="BO263" s="84"/>
      <c r="BP263" s="84"/>
      <c r="BQ263" s="84"/>
      <c r="BR263" s="84"/>
      <c r="BS263" s="942"/>
      <c r="BT263" s="942"/>
      <c r="BU263" s="942"/>
      <c r="BV263" s="84"/>
    </row>
    <row r="264" spans="14:74" ht="14.25">
      <c r="N264" s="84"/>
      <c r="O264" s="84"/>
      <c r="P264" s="84"/>
      <c r="Q264" s="84"/>
      <c r="R264" s="84"/>
      <c r="S264" s="84"/>
      <c r="T264" s="84"/>
      <c r="U264" s="84"/>
      <c r="V264" s="84"/>
      <c r="W264" s="84"/>
      <c r="Y264" s="84"/>
      <c r="Z264" s="84"/>
      <c r="AA264" s="84"/>
      <c r="AB264" s="84"/>
      <c r="AC264" s="84"/>
      <c r="AD264" s="84"/>
      <c r="AE264" s="84"/>
      <c r="AF264" s="84"/>
      <c r="AG264" s="84"/>
      <c r="AH264" s="84"/>
      <c r="AI264" s="84"/>
      <c r="AL264" s="84"/>
      <c r="AM264" s="84"/>
      <c r="AN264" s="84"/>
      <c r="AO264" s="84"/>
      <c r="AP264" s="84"/>
      <c r="AQ264" s="84"/>
      <c r="AR264" s="84"/>
      <c r="AS264" s="84"/>
      <c r="AT264" s="84"/>
      <c r="AU264" s="84"/>
      <c r="AV264" s="84"/>
      <c r="AY264" s="84"/>
      <c r="AZ264" s="84"/>
      <c r="BA264" s="84"/>
      <c r="BB264" s="84"/>
      <c r="BC264" s="84"/>
      <c r="BD264" s="84"/>
      <c r="BE264" s="84"/>
      <c r="BF264" s="942"/>
      <c r="BG264" s="942"/>
      <c r="BH264" s="942"/>
      <c r="BI264" s="84"/>
      <c r="BL264" s="84"/>
      <c r="BM264" s="84"/>
      <c r="BN264" s="84"/>
      <c r="BO264" s="84"/>
      <c r="BP264" s="84"/>
      <c r="BQ264" s="84"/>
      <c r="BR264" s="84"/>
      <c r="BS264" s="942"/>
      <c r="BT264" s="942"/>
      <c r="BU264" s="942"/>
      <c r="BV264" s="84"/>
    </row>
    <row r="265" spans="14:74" ht="14.25">
      <c r="N265" s="84"/>
      <c r="O265" s="84"/>
      <c r="P265" s="84"/>
      <c r="Q265" s="84"/>
      <c r="R265" s="84"/>
      <c r="S265" s="84"/>
      <c r="T265" s="84"/>
      <c r="U265" s="84"/>
      <c r="V265" s="84"/>
      <c r="W265" s="84"/>
      <c r="Y265" s="84"/>
      <c r="Z265" s="84"/>
      <c r="AA265" s="84"/>
      <c r="AB265" s="84"/>
      <c r="AC265" s="84"/>
      <c r="AD265" s="84"/>
      <c r="AE265" s="84"/>
      <c r="AF265" s="84"/>
      <c r="AG265" s="84"/>
      <c r="AH265" s="84"/>
      <c r="AI265" s="84"/>
      <c r="AL265" s="84"/>
      <c r="AM265" s="84"/>
      <c r="AN265" s="84"/>
      <c r="AO265" s="84"/>
      <c r="AP265" s="84"/>
      <c r="AQ265" s="84"/>
      <c r="AR265" s="84"/>
      <c r="AS265" s="84"/>
      <c r="AT265" s="84"/>
      <c r="AU265" s="84"/>
      <c r="AV265" s="84"/>
      <c r="AY265" s="84"/>
      <c r="AZ265" s="84"/>
      <c r="BA265" s="84"/>
      <c r="BB265" s="84"/>
      <c r="BC265" s="84"/>
      <c r="BD265" s="84"/>
      <c r="BE265" s="84"/>
      <c r="BF265" s="942"/>
      <c r="BG265" s="942"/>
      <c r="BH265" s="942"/>
      <c r="BI265" s="84"/>
      <c r="BL265" s="84"/>
      <c r="BM265" s="84"/>
      <c r="BN265" s="84"/>
      <c r="BO265" s="84"/>
      <c r="BP265" s="84"/>
      <c r="BQ265" s="84"/>
      <c r="BR265" s="84"/>
      <c r="BS265" s="942"/>
      <c r="BT265" s="942"/>
      <c r="BU265" s="942"/>
      <c r="BV265" s="84"/>
    </row>
    <row r="266" spans="14:74" ht="14.25">
      <c r="N266" s="84"/>
      <c r="O266" s="84"/>
      <c r="P266" s="84"/>
      <c r="Q266" s="84"/>
      <c r="R266" s="84"/>
      <c r="S266" s="84"/>
      <c r="T266" s="84"/>
      <c r="U266" s="84"/>
      <c r="V266" s="84"/>
      <c r="W266" s="84"/>
      <c r="Y266" s="84"/>
      <c r="Z266" s="84"/>
      <c r="AA266" s="84"/>
      <c r="AB266" s="84"/>
      <c r="AC266" s="84"/>
      <c r="AD266" s="84"/>
      <c r="AE266" s="84"/>
      <c r="AF266" s="84"/>
      <c r="AG266" s="84"/>
      <c r="AH266" s="84"/>
      <c r="AI266" s="84"/>
      <c r="AL266" s="84"/>
      <c r="AM266" s="84"/>
      <c r="AN266" s="84"/>
      <c r="AO266" s="84"/>
      <c r="AP266" s="84"/>
      <c r="AQ266" s="84"/>
      <c r="AR266" s="84"/>
      <c r="AS266" s="84"/>
      <c r="AT266" s="84"/>
      <c r="AU266" s="84"/>
      <c r="AV266" s="84"/>
      <c r="AY266" s="84"/>
      <c r="AZ266" s="84"/>
      <c r="BA266" s="84"/>
      <c r="BB266" s="84"/>
      <c r="BC266" s="84"/>
      <c r="BD266" s="84"/>
      <c r="BE266" s="84"/>
      <c r="BF266" s="942"/>
      <c r="BG266" s="942"/>
      <c r="BH266" s="942"/>
      <c r="BI266" s="84"/>
      <c r="BL266" s="84"/>
      <c r="BM266" s="84"/>
      <c r="BN266" s="84"/>
      <c r="BO266" s="84"/>
      <c r="BP266" s="84"/>
      <c r="BQ266" s="84"/>
      <c r="BR266" s="84"/>
      <c r="BS266" s="942"/>
      <c r="BT266" s="942"/>
      <c r="BU266" s="942"/>
      <c r="BV266" s="84"/>
    </row>
    <row r="267" spans="14:74" ht="14.25">
      <c r="N267" s="84"/>
      <c r="O267" s="84"/>
      <c r="P267" s="84"/>
      <c r="Q267" s="84"/>
      <c r="R267" s="84"/>
      <c r="S267" s="84"/>
      <c r="T267" s="84"/>
      <c r="U267" s="84"/>
      <c r="V267" s="84"/>
      <c r="W267" s="84"/>
      <c r="Y267" s="84"/>
      <c r="Z267" s="84"/>
      <c r="AA267" s="84"/>
      <c r="AB267" s="84"/>
      <c r="AC267" s="84"/>
      <c r="AD267" s="84"/>
      <c r="AE267" s="84"/>
      <c r="AF267" s="84"/>
      <c r="AG267" s="84"/>
      <c r="AH267" s="84"/>
      <c r="AI267" s="84"/>
      <c r="AL267" s="84"/>
      <c r="AM267" s="84"/>
      <c r="AN267" s="84"/>
      <c r="AO267" s="84"/>
      <c r="AP267" s="84"/>
      <c r="AQ267" s="84"/>
      <c r="AR267" s="84"/>
      <c r="AS267" s="84"/>
      <c r="AT267" s="84"/>
      <c r="AU267" s="84"/>
      <c r="AV267" s="84"/>
      <c r="AY267" s="84"/>
      <c r="AZ267" s="84"/>
      <c r="BA267" s="84"/>
      <c r="BB267" s="84"/>
      <c r="BC267" s="84"/>
      <c r="BD267" s="84"/>
      <c r="BE267" s="84"/>
      <c r="BF267" s="942"/>
      <c r="BG267" s="942"/>
      <c r="BH267" s="942"/>
      <c r="BI267" s="84"/>
      <c r="BL267" s="84"/>
      <c r="BM267" s="84"/>
      <c r="BN267" s="84"/>
      <c r="BO267" s="84"/>
      <c r="BP267" s="84"/>
      <c r="BQ267" s="84"/>
      <c r="BR267" s="84"/>
      <c r="BS267" s="942"/>
      <c r="BT267" s="942"/>
      <c r="BU267" s="942"/>
      <c r="BV267" s="84"/>
    </row>
    <row r="268" spans="14:74" ht="14.25">
      <c r="N268" s="84"/>
      <c r="O268" s="84"/>
      <c r="P268" s="84"/>
      <c r="Q268" s="84"/>
      <c r="R268" s="84"/>
      <c r="S268" s="84"/>
      <c r="T268" s="84"/>
      <c r="U268" s="84"/>
      <c r="V268" s="84"/>
      <c r="W268" s="84"/>
      <c r="Y268" s="84"/>
      <c r="Z268" s="84"/>
      <c r="AA268" s="84"/>
      <c r="AB268" s="84"/>
      <c r="AC268" s="84"/>
      <c r="AD268" s="84"/>
      <c r="AE268" s="84"/>
      <c r="AF268" s="84"/>
      <c r="AG268" s="84"/>
      <c r="AH268" s="84"/>
      <c r="AI268" s="84"/>
      <c r="AL268" s="84"/>
      <c r="AM268" s="84"/>
      <c r="AN268" s="84"/>
      <c r="AO268" s="84"/>
      <c r="AP268" s="84"/>
      <c r="AQ268" s="84"/>
      <c r="AR268" s="84"/>
      <c r="AS268" s="84"/>
      <c r="AT268" s="84"/>
      <c r="AU268" s="84"/>
      <c r="AV268" s="84"/>
      <c r="AY268" s="84"/>
      <c r="AZ268" s="84"/>
      <c r="BA268" s="84"/>
      <c r="BB268" s="84"/>
      <c r="BC268" s="84"/>
      <c r="BD268" s="84"/>
      <c r="BE268" s="84"/>
      <c r="BF268" s="942"/>
      <c r="BG268" s="942"/>
      <c r="BH268" s="942"/>
      <c r="BI268" s="84"/>
      <c r="BL268" s="84"/>
      <c r="BM268" s="84"/>
      <c r="BN268" s="84"/>
      <c r="BO268" s="84"/>
      <c r="BP268" s="84"/>
      <c r="BQ268" s="84"/>
      <c r="BR268" s="84"/>
      <c r="BS268" s="942"/>
      <c r="BT268" s="942"/>
      <c r="BU268" s="942"/>
      <c r="BV268" s="84"/>
    </row>
    <row r="269" spans="14:74" ht="14.25">
      <c r="N269" s="84"/>
      <c r="O269" s="84"/>
      <c r="P269" s="84"/>
      <c r="Q269" s="84"/>
      <c r="R269" s="84"/>
      <c r="S269" s="84"/>
      <c r="T269" s="84"/>
      <c r="U269" s="84"/>
      <c r="V269" s="84"/>
      <c r="W269" s="84"/>
      <c r="Y269" s="84"/>
      <c r="Z269" s="84"/>
      <c r="AA269" s="84"/>
      <c r="AB269" s="84"/>
      <c r="AC269" s="84"/>
      <c r="AD269" s="84"/>
      <c r="AE269" s="84"/>
      <c r="AF269" s="84"/>
      <c r="AG269" s="84"/>
      <c r="AH269" s="84"/>
      <c r="AI269" s="84"/>
      <c r="AL269" s="84"/>
      <c r="AM269" s="84"/>
      <c r="AN269" s="84"/>
      <c r="AO269" s="84"/>
      <c r="AP269" s="84"/>
      <c r="AQ269" s="84"/>
      <c r="AR269" s="84"/>
      <c r="AS269" s="84"/>
      <c r="AT269" s="84"/>
      <c r="AU269" s="84"/>
      <c r="AV269" s="84"/>
      <c r="AY269" s="84"/>
      <c r="AZ269" s="84"/>
      <c r="BA269" s="84"/>
      <c r="BB269" s="84"/>
      <c r="BC269" s="84"/>
      <c r="BD269" s="84"/>
      <c r="BE269" s="84"/>
      <c r="BF269" s="942"/>
      <c r="BG269" s="942"/>
      <c r="BH269" s="942"/>
      <c r="BI269" s="84"/>
      <c r="BL269" s="84"/>
      <c r="BM269" s="84"/>
      <c r="BN269" s="84"/>
      <c r="BO269" s="84"/>
      <c r="BP269" s="84"/>
      <c r="BQ269" s="84"/>
      <c r="BR269" s="84"/>
      <c r="BS269" s="942"/>
      <c r="BT269" s="942"/>
      <c r="BU269" s="942"/>
      <c r="BV269" s="84"/>
    </row>
    <row r="270" spans="14:74" ht="14.25">
      <c r="N270" s="84"/>
      <c r="O270" s="84"/>
      <c r="P270" s="84"/>
      <c r="Q270" s="84"/>
      <c r="R270" s="84"/>
      <c r="S270" s="84"/>
      <c r="T270" s="84"/>
      <c r="U270" s="84"/>
      <c r="V270" s="84"/>
      <c r="W270" s="84"/>
      <c r="Y270" s="84"/>
      <c r="Z270" s="84"/>
      <c r="AA270" s="84"/>
      <c r="AB270" s="84"/>
      <c r="AC270" s="84"/>
      <c r="AD270" s="84"/>
      <c r="AE270" s="84"/>
      <c r="AF270" s="84"/>
      <c r="AG270" s="84"/>
      <c r="AH270" s="84"/>
      <c r="AI270" s="84"/>
      <c r="AL270" s="84"/>
      <c r="AM270" s="84"/>
      <c r="AN270" s="84"/>
      <c r="AO270" s="84"/>
      <c r="AP270" s="84"/>
      <c r="AQ270" s="84"/>
      <c r="AR270" s="84"/>
      <c r="AS270" s="84"/>
      <c r="AT270" s="84"/>
      <c r="AU270" s="84"/>
      <c r="AV270" s="84"/>
      <c r="AY270" s="84"/>
      <c r="AZ270" s="84"/>
      <c r="BA270" s="84"/>
      <c r="BB270" s="84"/>
      <c r="BC270" s="84"/>
      <c r="BD270" s="84"/>
      <c r="BE270" s="84"/>
      <c r="BF270" s="942"/>
      <c r="BG270" s="942"/>
      <c r="BH270" s="942"/>
      <c r="BI270" s="84"/>
      <c r="BL270" s="84"/>
      <c r="BM270" s="84"/>
      <c r="BN270" s="84"/>
      <c r="BO270" s="84"/>
      <c r="BP270" s="84"/>
      <c r="BQ270" s="84"/>
      <c r="BR270" s="84"/>
      <c r="BS270" s="942"/>
      <c r="BT270" s="942"/>
      <c r="BU270" s="942"/>
      <c r="BV270" s="84"/>
    </row>
    <row r="271" spans="14:74" ht="14.25">
      <c r="N271" s="84"/>
      <c r="O271" s="84"/>
      <c r="P271" s="84"/>
      <c r="Q271" s="84"/>
      <c r="R271" s="84"/>
      <c r="S271" s="84"/>
      <c r="T271" s="84"/>
      <c r="U271" s="84"/>
      <c r="V271" s="84"/>
      <c r="W271" s="84"/>
      <c r="Y271" s="84"/>
      <c r="Z271" s="84"/>
      <c r="AA271" s="84"/>
      <c r="AB271" s="84"/>
      <c r="AC271" s="84"/>
      <c r="AD271" s="84"/>
      <c r="AE271" s="84"/>
      <c r="AF271" s="84"/>
      <c r="AG271" s="84"/>
      <c r="AH271" s="84"/>
      <c r="AI271" s="84"/>
      <c r="AL271" s="84"/>
      <c r="AM271" s="84"/>
      <c r="AN271" s="84"/>
      <c r="AO271" s="84"/>
      <c r="AP271" s="84"/>
      <c r="AQ271" s="84"/>
      <c r="AR271" s="84"/>
      <c r="AS271" s="84"/>
      <c r="AT271" s="84"/>
      <c r="AU271" s="84"/>
      <c r="AV271" s="84"/>
      <c r="AY271" s="84"/>
      <c r="AZ271" s="84"/>
      <c r="BA271" s="84"/>
      <c r="BB271" s="84"/>
      <c r="BC271" s="84"/>
      <c r="BD271" s="84"/>
      <c r="BE271" s="84"/>
      <c r="BF271" s="942"/>
      <c r="BG271" s="942"/>
      <c r="BH271" s="942"/>
      <c r="BI271" s="84"/>
      <c r="BL271" s="84"/>
      <c r="BM271" s="84"/>
      <c r="BN271" s="84"/>
      <c r="BO271" s="84"/>
      <c r="BP271" s="84"/>
      <c r="BQ271" s="84"/>
      <c r="BR271" s="84"/>
      <c r="BS271" s="942"/>
      <c r="BT271" s="942"/>
      <c r="BU271" s="942"/>
      <c r="BV271" s="84"/>
    </row>
    <row r="272" spans="14:74" ht="14.25">
      <c r="N272" s="84"/>
      <c r="O272" s="84"/>
      <c r="P272" s="84"/>
      <c r="Q272" s="84"/>
      <c r="R272" s="84"/>
      <c r="S272" s="84"/>
      <c r="T272" s="84"/>
      <c r="U272" s="84"/>
      <c r="V272" s="84"/>
      <c r="W272" s="84"/>
      <c r="Y272" s="84"/>
      <c r="Z272" s="84"/>
      <c r="AA272" s="84"/>
      <c r="AB272" s="84"/>
      <c r="AC272" s="84"/>
      <c r="AD272" s="84"/>
      <c r="AE272" s="84"/>
      <c r="AF272" s="84"/>
      <c r="AG272" s="84"/>
      <c r="AH272" s="84"/>
      <c r="AI272" s="84"/>
      <c r="AL272" s="84"/>
      <c r="AM272" s="84"/>
      <c r="AN272" s="84"/>
      <c r="AO272" s="84"/>
      <c r="AP272" s="84"/>
      <c r="AQ272" s="84"/>
      <c r="AR272" s="84"/>
      <c r="AS272" s="84"/>
      <c r="AT272" s="84"/>
      <c r="AU272" s="84"/>
      <c r="AV272" s="84"/>
      <c r="AY272" s="84"/>
      <c r="AZ272" s="84"/>
      <c r="BA272" s="84"/>
      <c r="BB272" s="84"/>
      <c r="BC272" s="84"/>
      <c r="BD272" s="84"/>
      <c r="BE272" s="84"/>
      <c r="BF272" s="942"/>
      <c r="BG272" s="942"/>
      <c r="BH272" s="942"/>
      <c r="BI272" s="84"/>
      <c r="BL272" s="84"/>
      <c r="BM272" s="84"/>
      <c r="BN272" s="84"/>
      <c r="BO272" s="84"/>
      <c r="BP272" s="84"/>
      <c r="BQ272" s="84"/>
      <c r="BR272" s="84"/>
      <c r="BS272" s="942"/>
      <c r="BT272" s="942"/>
      <c r="BU272" s="942"/>
      <c r="BV272" s="84"/>
    </row>
    <row r="273" spans="14:74" ht="14.25">
      <c r="N273" s="84"/>
      <c r="O273" s="84"/>
      <c r="P273" s="84"/>
      <c r="Q273" s="84"/>
      <c r="R273" s="84"/>
      <c r="S273" s="84"/>
      <c r="T273" s="84"/>
      <c r="U273" s="84"/>
      <c r="V273" s="84"/>
      <c r="W273" s="84"/>
      <c r="Y273" s="84"/>
      <c r="Z273" s="84"/>
      <c r="AA273" s="84"/>
      <c r="AB273" s="84"/>
      <c r="AC273" s="84"/>
      <c r="AD273" s="84"/>
      <c r="AE273" s="84"/>
      <c r="AF273" s="84"/>
      <c r="AG273" s="84"/>
      <c r="AH273" s="84"/>
      <c r="AI273" s="84"/>
      <c r="AL273" s="84"/>
      <c r="AM273" s="84"/>
      <c r="AN273" s="84"/>
      <c r="AO273" s="84"/>
      <c r="AP273" s="84"/>
      <c r="AQ273" s="84"/>
      <c r="AR273" s="84"/>
      <c r="AS273" s="84"/>
      <c r="AT273" s="84"/>
      <c r="AU273" s="84"/>
      <c r="AV273" s="84"/>
      <c r="AY273" s="84"/>
      <c r="AZ273" s="84"/>
      <c r="BA273" s="84"/>
      <c r="BB273" s="84"/>
      <c r="BC273" s="84"/>
      <c r="BD273" s="84"/>
      <c r="BE273" s="84"/>
      <c r="BF273" s="942"/>
      <c r="BG273" s="942"/>
      <c r="BH273" s="942"/>
      <c r="BI273" s="84"/>
      <c r="BL273" s="84"/>
      <c r="BM273" s="84"/>
      <c r="BN273" s="84"/>
      <c r="BO273" s="84"/>
      <c r="BP273" s="84"/>
      <c r="BQ273" s="84"/>
      <c r="BR273" s="84"/>
      <c r="BS273" s="942"/>
      <c r="BT273" s="942"/>
      <c r="BU273" s="942"/>
      <c r="BV273" s="84"/>
    </row>
    <row r="274" spans="14:74" ht="14.25">
      <c r="N274" s="84"/>
      <c r="O274" s="84"/>
      <c r="P274" s="84"/>
      <c r="Q274" s="84"/>
      <c r="R274" s="84"/>
      <c r="S274" s="84"/>
      <c r="T274" s="84"/>
      <c r="U274" s="84"/>
      <c r="V274" s="84"/>
      <c r="W274" s="84"/>
      <c r="Y274" s="84"/>
      <c r="Z274" s="84"/>
      <c r="AA274" s="84"/>
      <c r="AB274" s="84"/>
      <c r="AC274" s="84"/>
      <c r="AD274" s="84"/>
      <c r="AE274" s="84"/>
      <c r="AF274" s="84"/>
      <c r="AG274" s="84"/>
      <c r="AH274" s="84"/>
      <c r="AI274" s="84"/>
      <c r="AL274" s="84"/>
      <c r="AM274" s="84"/>
      <c r="AN274" s="84"/>
      <c r="AO274" s="84"/>
      <c r="AP274" s="84"/>
      <c r="AQ274" s="84"/>
      <c r="AR274" s="84"/>
      <c r="AS274" s="84"/>
      <c r="AT274" s="84"/>
      <c r="AU274" s="84"/>
      <c r="AV274" s="84"/>
      <c r="AY274" s="84"/>
      <c r="AZ274" s="84"/>
      <c r="BA274" s="84"/>
      <c r="BB274" s="84"/>
      <c r="BC274" s="84"/>
      <c r="BD274" s="84"/>
      <c r="BE274" s="84"/>
      <c r="BF274" s="942"/>
      <c r="BG274" s="942"/>
      <c r="BH274" s="942"/>
      <c r="BI274" s="84"/>
      <c r="BL274" s="84"/>
      <c r="BM274" s="84"/>
      <c r="BN274" s="84"/>
      <c r="BO274" s="84"/>
      <c r="BP274" s="84"/>
      <c r="BQ274" s="84"/>
      <c r="BR274" s="84"/>
      <c r="BS274" s="942"/>
      <c r="BT274" s="942"/>
      <c r="BU274" s="942"/>
      <c r="BV274" s="84"/>
    </row>
    <row r="275" spans="14:74" ht="14.25">
      <c r="N275" s="84"/>
      <c r="O275" s="84"/>
      <c r="P275" s="84"/>
      <c r="Q275" s="84"/>
      <c r="R275" s="84"/>
      <c r="S275" s="84"/>
      <c r="T275" s="84"/>
      <c r="U275" s="84"/>
      <c r="V275" s="84"/>
      <c r="W275" s="84"/>
      <c r="Y275" s="84"/>
      <c r="Z275" s="84"/>
      <c r="AA275" s="84"/>
      <c r="AB275" s="84"/>
      <c r="AC275" s="84"/>
      <c r="AD275" s="84"/>
      <c r="AE275" s="84"/>
      <c r="AF275" s="84"/>
      <c r="AG275" s="84"/>
      <c r="AH275" s="84"/>
      <c r="AI275" s="84"/>
      <c r="AL275" s="84"/>
      <c r="AM275" s="84"/>
      <c r="AN275" s="84"/>
      <c r="AO275" s="84"/>
      <c r="AP275" s="84"/>
      <c r="AQ275" s="84"/>
      <c r="AR275" s="84"/>
      <c r="AS275" s="84"/>
      <c r="AT275" s="84"/>
      <c r="AU275" s="84"/>
      <c r="AV275" s="84"/>
      <c r="AY275" s="84"/>
      <c r="AZ275" s="84"/>
      <c r="BA275" s="84"/>
      <c r="BB275" s="84"/>
      <c r="BC275" s="84"/>
      <c r="BD275" s="84"/>
      <c r="BE275" s="84"/>
      <c r="BF275" s="942"/>
      <c r="BG275" s="942"/>
      <c r="BH275" s="942"/>
      <c r="BI275" s="84"/>
      <c r="BL275" s="84"/>
      <c r="BM275" s="84"/>
      <c r="BN275" s="84"/>
      <c r="BO275" s="84"/>
      <c r="BP275" s="84"/>
      <c r="BQ275" s="84"/>
      <c r="BR275" s="84"/>
      <c r="BS275" s="942"/>
      <c r="BT275" s="942"/>
      <c r="BU275" s="942"/>
      <c r="BV275" s="84"/>
    </row>
    <row r="276" spans="14:74" ht="14.25">
      <c r="N276" s="84"/>
      <c r="O276" s="84"/>
      <c r="P276" s="84"/>
      <c r="Q276" s="84"/>
      <c r="R276" s="84"/>
      <c r="S276" s="84"/>
      <c r="T276" s="84"/>
      <c r="U276" s="84"/>
      <c r="V276" s="84"/>
      <c r="W276" s="84"/>
      <c r="Y276" s="84"/>
      <c r="Z276" s="84"/>
      <c r="AA276" s="84"/>
      <c r="AB276" s="84"/>
      <c r="AC276" s="84"/>
      <c r="AD276" s="84"/>
      <c r="AE276" s="84"/>
      <c r="AF276" s="84"/>
      <c r="AG276" s="84"/>
      <c r="AH276" s="84"/>
      <c r="AI276" s="84"/>
      <c r="AL276" s="84"/>
      <c r="AM276" s="84"/>
      <c r="AN276" s="84"/>
      <c r="AO276" s="84"/>
      <c r="AP276" s="84"/>
      <c r="AQ276" s="84"/>
      <c r="AR276" s="84"/>
      <c r="AS276" s="84"/>
      <c r="AT276" s="84"/>
      <c r="AU276" s="84"/>
      <c r="AV276" s="84"/>
      <c r="AY276" s="84"/>
      <c r="AZ276" s="84"/>
      <c r="BA276" s="84"/>
      <c r="BB276" s="84"/>
      <c r="BC276" s="84"/>
      <c r="BD276" s="84"/>
      <c r="BE276" s="84"/>
      <c r="BF276" s="942"/>
      <c r="BG276" s="942"/>
      <c r="BH276" s="942"/>
      <c r="BI276" s="84"/>
      <c r="BL276" s="84"/>
      <c r="BM276" s="84"/>
      <c r="BN276" s="84"/>
      <c r="BO276" s="84"/>
      <c r="BP276" s="84"/>
      <c r="BQ276" s="84"/>
      <c r="BR276" s="84"/>
      <c r="BS276" s="942"/>
      <c r="BT276" s="942"/>
      <c r="BU276" s="942"/>
      <c r="BV276" s="84"/>
    </row>
    <row r="277" spans="14:74" ht="14.25">
      <c r="N277" s="84"/>
      <c r="O277" s="84"/>
      <c r="P277" s="84"/>
      <c r="Q277" s="84"/>
      <c r="R277" s="84"/>
      <c r="S277" s="84"/>
      <c r="T277" s="84"/>
      <c r="U277" s="84"/>
      <c r="V277" s="84"/>
      <c r="W277" s="84"/>
      <c r="Y277" s="84"/>
      <c r="Z277" s="84"/>
      <c r="AA277" s="84"/>
      <c r="AB277" s="84"/>
      <c r="AC277" s="84"/>
      <c r="AD277" s="84"/>
      <c r="AE277" s="84"/>
      <c r="AF277" s="84"/>
      <c r="AG277" s="84"/>
      <c r="AH277" s="84"/>
      <c r="AI277" s="84"/>
      <c r="AL277" s="84"/>
      <c r="AM277" s="84"/>
      <c r="AN277" s="84"/>
      <c r="AO277" s="84"/>
      <c r="AP277" s="84"/>
      <c r="AQ277" s="84"/>
      <c r="AR277" s="84"/>
      <c r="AS277" s="84"/>
      <c r="AT277" s="84"/>
      <c r="AU277" s="84"/>
      <c r="AV277" s="84"/>
      <c r="AY277" s="84"/>
      <c r="AZ277" s="84"/>
      <c r="BA277" s="84"/>
      <c r="BB277" s="84"/>
      <c r="BC277" s="84"/>
      <c r="BD277" s="84"/>
      <c r="BE277" s="84"/>
      <c r="BF277" s="942"/>
      <c r="BG277" s="942"/>
      <c r="BH277" s="942"/>
      <c r="BI277" s="84"/>
      <c r="BL277" s="84"/>
      <c r="BM277" s="84"/>
      <c r="BN277" s="84"/>
      <c r="BO277" s="84"/>
      <c r="BP277" s="84"/>
      <c r="BQ277" s="84"/>
      <c r="BR277" s="84"/>
      <c r="BS277" s="942"/>
      <c r="BT277" s="942"/>
      <c r="BU277" s="942"/>
      <c r="BV277" s="84"/>
    </row>
    <row r="278" spans="14:74" ht="14.25">
      <c r="N278" s="84"/>
      <c r="O278" s="84"/>
      <c r="P278" s="84"/>
      <c r="Q278" s="84"/>
      <c r="R278" s="84"/>
      <c r="S278" s="84"/>
      <c r="T278" s="84"/>
      <c r="U278" s="84"/>
      <c r="V278" s="84"/>
      <c r="W278" s="84"/>
      <c r="Y278" s="84"/>
      <c r="Z278" s="84"/>
      <c r="AA278" s="84"/>
      <c r="AB278" s="84"/>
      <c r="AC278" s="84"/>
      <c r="AD278" s="84"/>
      <c r="AE278" s="84"/>
      <c r="AF278" s="84"/>
      <c r="AG278" s="84"/>
      <c r="AH278" s="84"/>
      <c r="AI278" s="84"/>
      <c r="AL278" s="84"/>
      <c r="AM278" s="84"/>
      <c r="AN278" s="84"/>
      <c r="AO278" s="84"/>
      <c r="AP278" s="84"/>
      <c r="AQ278" s="84"/>
      <c r="AR278" s="84"/>
      <c r="AS278" s="84"/>
      <c r="AT278" s="84"/>
      <c r="AU278" s="84"/>
      <c r="AV278" s="84"/>
      <c r="AY278" s="84"/>
      <c r="AZ278" s="84"/>
      <c r="BA278" s="84"/>
      <c r="BB278" s="84"/>
      <c r="BC278" s="84"/>
      <c r="BD278" s="84"/>
      <c r="BE278" s="84"/>
      <c r="BF278" s="942"/>
      <c r="BG278" s="942"/>
      <c r="BH278" s="942"/>
      <c r="BI278" s="84"/>
      <c r="BL278" s="84"/>
      <c r="BM278" s="84"/>
      <c r="BN278" s="84"/>
      <c r="BO278" s="84"/>
      <c r="BP278" s="84"/>
      <c r="BQ278" s="84"/>
      <c r="BR278" s="84"/>
      <c r="BS278" s="942"/>
      <c r="BT278" s="942"/>
      <c r="BU278" s="942"/>
      <c r="BV278" s="84"/>
    </row>
    <row r="279" spans="14:74" ht="14.25">
      <c r="N279" s="84"/>
      <c r="O279" s="84"/>
      <c r="P279" s="84"/>
      <c r="Q279" s="84"/>
      <c r="R279" s="84"/>
      <c r="S279" s="84"/>
      <c r="T279" s="84"/>
      <c r="U279" s="84"/>
      <c r="V279" s="84"/>
      <c r="W279" s="84"/>
      <c r="Y279" s="84"/>
      <c r="Z279" s="84"/>
      <c r="AA279" s="84"/>
      <c r="AB279" s="84"/>
      <c r="AC279" s="84"/>
      <c r="AD279" s="84"/>
      <c r="AE279" s="84"/>
      <c r="AF279" s="84"/>
      <c r="AG279" s="84"/>
      <c r="AH279" s="84"/>
      <c r="AI279" s="84"/>
      <c r="AL279" s="84"/>
      <c r="AM279" s="84"/>
      <c r="AN279" s="84"/>
      <c r="AO279" s="84"/>
      <c r="AP279" s="84"/>
      <c r="AQ279" s="84"/>
      <c r="AR279" s="84"/>
      <c r="AS279" s="84"/>
      <c r="AT279" s="84"/>
      <c r="AU279" s="84"/>
      <c r="AV279" s="84"/>
      <c r="AY279" s="84"/>
      <c r="AZ279" s="84"/>
      <c r="BA279" s="84"/>
      <c r="BB279" s="84"/>
      <c r="BC279" s="84"/>
      <c r="BD279" s="84"/>
      <c r="BE279" s="84"/>
      <c r="BF279" s="942"/>
      <c r="BG279" s="942"/>
      <c r="BH279" s="942"/>
      <c r="BI279" s="84"/>
      <c r="BL279" s="84"/>
      <c r="BM279" s="84"/>
      <c r="BN279" s="84"/>
      <c r="BO279" s="84"/>
      <c r="BP279" s="84"/>
      <c r="BQ279" s="84"/>
      <c r="BR279" s="84"/>
      <c r="BS279" s="942"/>
      <c r="BT279" s="942"/>
      <c r="BU279" s="942"/>
      <c r="BV279" s="84"/>
    </row>
    <row r="280" spans="14:74" ht="14.25">
      <c r="N280" s="84"/>
      <c r="O280" s="84"/>
      <c r="P280" s="84"/>
      <c r="Q280" s="84"/>
      <c r="R280" s="84"/>
      <c r="S280" s="84"/>
      <c r="T280" s="84"/>
      <c r="U280" s="84"/>
      <c r="V280" s="84"/>
      <c r="W280" s="84"/>
      <c r="Y280" s="84"/>
      <c r="Z280" s="84"/>
      <c r="AA280" s="84"/>
      <c r="AB280" s="84"/>
      <c r="AC280" s="84"/>
      <c r="AD280" s="84"/>
      <c r="AE280" s="84"/>
      <c r="AF280" s="84"/>
      <c r="AG280" s="84"/>
      <c r="AH280" s="84"/>
      <c r="AI280" s="84"/>
      <c r="AL280" s="84"/>
      <c r="AM280" s="84"/>
      <c r="AN280" s="84"/>
      <c r="AO280" s="84"/>
      <c r="AP280" s="84"/>
      <c r="AQ280" s="84"/>
      <c r="AR280" s="84"/>
      <c r="AS280" s="84"/>
      <c r="AT280" s="84"/>
      <c r="AU280" s="84"/>
      <c r="AV280" s="84"/>
      <c r="AY280" s="84"/>
      <c r="AZ280" s="84"/>
      <c r="BA280" s="84"/>
      <c r="BB280" s="84"/>
      <c r="BC280" s="84"/>
      <c r="BD280" s="84"/>
      <c r="BE280" s="84"/>
      <c r="BF280" s="942"/>
      <c r="BG280" s="942"/>
      <c r="BH280" s="942"/>
      <c r="BI280" s="84"/>
      <c r="BL280" s="84"/>
      <c r="BM280" s="84"/>
      <c r="BN280" s="84"/>
      <c r="BO280" s="84"/>
      <c r="BP280" s="84"/>
      <c r="BQ280" s="84"/>
      <c r="BR280" s="84"/>
      <c r="BS280" s="942"/>
      <c r="BT280" s="942"/>
      <c r="BU280" s="942"/>
      <c r="BV280" s="84"/>
    </row>
    <row r="281" spans="14:74" ht="14.25">
      <c r="N281" s="84"/>
      <c r="O281" s="84"/>
      <c r="P281" s="84"/>
      <c r="Q281" s="84"/>
      <c r="R281" s="84"/>
      <c r="S281" s="84"/>
      <c r="T281" s="84"/>
      <c r="U281" s="84"/>
      <c r="V281" s="84"/>
      <c r="W281" s="84"/>
      <c r="Y281" s="84"/>
      <c r="Z281" s="84"/>
      <c r="AA281" s="84"/>
      <c r="AB281" s="84"/>
      <c r="AC281" s="84"/>
      <c r="AD281" s="84"/>
      <c r="AE281" s="84"/>
      <c r="AF281" s="84"/>
      <c r="AG281" s="84"/>
      <c r="AH281" s="84"/>
      <c r="AI281" s="84"/>
      <c r="AL281" s="84"/>
      <c r="AM281" s="84"/>
      <c r="AN281" s="84"/>
      <c r="AO281" s="84"/>
      <c r="AP281" s="84"/>
      <c r="AQ281" s="84"/>
      <c r="AR281" s="84"/>
      <c r="AS281" s="84"/>
      <c r="AT281" s="84"/>
      <c r="AU281" s="84"/>
      <c r="AV281" s="84"/>
      <c r="AY281" s="84"/>
      <c r="AZ281" s="84"/>
      <c r="BA281" s="84"/>
      <c r="BB281" s="84"/>
      <c r="BC281" s="84"/>
      <c r="BD281" s="84"/>
      <c r="BE281" s="84"/>
      <c r="BF281" s="942"/>
      <c r="BG281" s="942"/>
      <c r="BH281" s="942"/>
      <c r="BI281" s="84"/>
      <c r="BL281" s="84"/>
      <c r="BM281" s="84"/>
      <c r="BN281" s="84"/>
      <c r="BO281" s="84"/>
      <c r="BP281" s="84"/>
      <c r="BQ281" s="84"/>
      <c r="BR281" s="84"/>
      <c r="BS281" s="942"/>
      <c r="BT281" s="942"/>
      <c r="BU281" s="942"/>
      <c r="BV281" s="84"/>
    </row>
    <row r="282" spans="14:74" ht="14.25">
      <c r="N282" s="84"/>
      <c r="O282" s="84"/>
      <c r="P282" s="84"/>
      <c r="Q282" s="84"/>
      <c r="R282" s="84"/>
      <c r="S282" s="84"/>
      <c r="T282" s="84"/>
      <c r="U282" s="84"/>
      <c r="V282" s="84"/>
      <c r="W282" s="84"/>
      <c r="Y282" s="84"/>
      <c r="Z282" s="84"/>
      <c r="AA282" s="84"/>
      <c r="AB282" s="84"/>
      <c r="AC282" s="84"/>
      <c r="AD282" s="84"/>
      <c r="AE282" s="84"/>
      <c r="AF282" s="84"/>
      <c r="AG282" s="84"/>
      <c r="AH282" s="84"/>
      <c r="AI282" s="84"/>
      <c r="AL282" s="84"/>
      <c r="AM282" s="84"/>
      <c r="AN282" s="84"/>
      <c r="AO282" s="84"/>
      <c r="AP282" s="84"/>
      <c r="AQ282" s="84"/>
      <c r="AR282" s="84"/>
      <c r="AS282" s="84"/>
      <c r="AT282" s="84"/>
      <c r="AU282" s="84"/>
      <c r="AV282" s="84"/>
      <c r="AY282" s="84"/>
      <c r="AZ282" s="84"/>
      <c r="BA282" s="84"/>
      <c r="BB282" s="84"/>
      <c r="BC282" s="84"/>
      <c r="BD282" s="84"/>
      <c r="BE282" s="84"/>
      <c r="BF282" s="942"/>
      <c r="BG282" s="942"/>
      <c r="BH282" s="942"/>
      <c r="BI282" s="84"/>
      <c r="BL282" s="84"/>
      <c r="BM282" s="84"/>
      <c r="BN282" s="84"/>
      <c r="BO282" s="84"/>
      <c r="BP282" s="84"/>
      <c r="BQ282" s="84"/>
      <c r="BR282" s="84"/>
      <c r="BS282" s="942"/>
      <c r="BT282" s="942"/>
      <c r="BU282" s="942"/>
      <c r="BV282" s="84"/>
    </row>
    <row r="283" spans="14:74" ht="14.25">
      <c r="N283" s="84"/>
      <c r="O283" s="84"/>
      <c r="P283" s="84"/>
      <c r="Q283" s="84"/>
      <c r="R283" s="84"/>
      <c r="S283" s="84"/>
      <c r="T283" s="84"/>
      <c r="U283" s="84"/>
      <c r="V283" s="84"/>
      <c r="W283" s="84"/>
      <c r="Y283" s="84"/>
      <c r="Z283" s="84"/>
      <c r="AA283" s="84"/>
      <c r="AB283" s="84"/>
      <c r="AC283" s="84"/>
      <c r="AD283" s="84"/>
      <c r="AE283" s="84"/>
      <c r="AF283" s="84"/>
      <c r="AG283" s="84"/>
      <c r="AH283" s="84"/>
      <c r="AI283" s="84"/>
      <c r="AL283" s="84"/>
      <c r="AM283" s="84"/>
      <c r="AN283" s="84"/>
      <c r="AO283" s="84"/>
      <c r="AP283" s="84"/>
      <c r="AQ283" s="84"/>
      <c r="AR283" s="84"/>
      <c r="AS283" s="84"/>
      <c r="AT283" s="84"/>
      <c r="AU283" s="84"/>
      <c r="AV283" s="84"/>
      <c r="AY283" s="84"/>
      <c r="AZ283" s="84"/>
      <c r="BA283" s="84"/>
      <c r="BB283" s="84"/>
      <c r="BC283" s="84"/>
      <c r="BD283" s="84"/>
      <c r="BE283" s="84"/>
      <c r="BF283" s="942"/>
      <c r="BG283" s="942"/>
      <c r="BH283" s="942"/>
      <c r="BI283" s="84"/>
      <c r="BL283" s="84"/>
      <c r="BM283" s="84"/>
      <c r="BN283" s="84"/>
      <c r="BO283" s="84"/>
      <c r="BP283" s="84"/>
      <c r="BQ283" s="84"/>
      <c r="BR283" s="84"/>
      <c r="BS283" s="942"/>
      <c r="BT283" s="942"/>
      <c r="BU283" s="942"/>
      <c r="BV283" s="84"/>
    </row>
    <row r="284" spans="14:74" ht="14.25">
      <c r="N284" s="84"/>
      <c r="O284" s="84"/>
      <c r="P284" s="84"/>
      <c r="Q284" s="84"/>
      <c r="R284" s="84"/>
      <c r="S284" s="84"/>
      <c r="T284" s="84"/>
      <c r="U284" s="84"/>
      <c r="V284" s="84"/>
      <c r="W284" s="84"/>
      <c r="Y284" s="84"/>
      <c r="Z284" s="84"/>
      <c r="AA284" s="84"/>
      <c r="AB284" s="84"/>
      <c r="AC284" s="84"/>
      <c r="AD284" s="84"/>
      <c r="AE284" s="84"/>
      <c r="AF284" s="84"/>
      <c r="AG284" s="84"/>
      <c r="AH284" s="84"/>
      <c r="AI284" s="84"/>
      <c r="AL284" s="84"/>
      <c r="AM284" s="84"/>
      <c r="AN284" s="84"/>
      <c r="AO284" s="84"/>
      <c r="AP284" s="84"/>
      <c r="AQ284" s="84"/>
      <c r="AR284" s="84"/>
      <c r="AS284" s="84"/>
      <c r="AT284" s="84"/>
      <c r="AU284" s="84"/>
      <c r="AV284" s="84"/>
      <c r="AY284" s="84"/>
      <c r="AZ284" s="84"/>
      <c r="BA284" s="84"/>
      <c r="BB284" s="84"/>
      <c r="BC284" s="84"/>
      <c r="BD284" s="84"/>
      <c r="BE284" s="84"/>
      <c r="BF284" s="942"/>
      <c r="BG284" s="942"/>
      <c r="BH284" s="942"/>
      <c r="BI284" s="84"/>
      <c r="BL284" s="84"/>
      <c r="BM284" s="84"/>
      <c r="BN284" s="84"/>
      <c r="BO284" s="84"/>
      <c r="BP284" s="84"/>
      <c r="BQ284" s="84"/>
      <c r="BR284" s="84"/>
      <c r="BS284" s="942"/>
      <c r="BT284" s="942"/>
      <c r="BU284" s="942"/>
      <c r="BV284" s="84"/>
    </row>
    <row r="285" spans="14:74" ht="14.25">
      <c r="N285" s="84"/>
      <c r="O285" s="84"/>
      <c r="P285" s="84"/>
      <c r="Q285" s="84"/>
      <c r="R285" s="84"/>
      <c r="S285" s="84"/>
      <c r="T285" s="84"/>
      <c r="U285" s="84"/>
      <c r="V285" s="84"/>
      <c r="W285" s="84"/>
      <c r="Y285" s="84"/>
      <c r="Z285" s="84"/>
      <c r="AA285" s="84"/>
      <c r="AB285" s="84"/>
      <c r="AC285" s="84"/>
      <c r="AD285" s="84"/>
      <c r="AE285" s="84"/>
      <c r="AF285" s="84"/>
      <c r="AG285" s="84"/>
      <c r="AH285" s="84"/>
      <c r="AI285" s="84"/>
      <c r="AL285" s="84"/>
      <c r="AM285" s="84"/>
      <c r="AN285" s="84"/>
      <c r="AO285" s="84"/>
      <c r="AP285" s="84"/>
      <c r="AQ285" s="84"/>
      <c r="AR285" s="84"/>
      <c r="AS285" s="84"/>
      <c r="AT285" s="84"/>
      <c r="AU285" s="84"/>
      <c r="AV285" s="84"/>
      <c r="AY285" s="84"/>
      <c r="AZ285" s="84"/>
      <c r="BA285" s="84"/>
      <c r="BB285" s="84"/>
      <c r="BC285" s="84"/>
      <c r="BD285" s="84"/>
      <c r="BE285" s="84"/>
      <c r="BF285" s="942"/>
      <c r="BG285" s="942"/>
      <c r="BH285" s="942"/>
      <c r="BI285" s="84"/>
      <c r="BL285" s="84"/>
      <c r="BM285" s="84"/>
      <c r="BN285" s="84"/>
      <c r="BO285" s="84"/>
      <c r="BP285" s="84"/>
      <c r="BQ285" s="84"/>
      <c r="BR285" s="84"/>
      <c r="BS285" s="942"/>
      <c r="BT285" s="942"/>
      <c r="BU285" s="942"/>
      <c r="BV285" s="84"/>
    </row>
    <row r="286" spans="14:74" ht="14.25">
      <c r="N286" s="84"/>
      <c r="O286" s="84"/>
      <c r="P286" s="84"/>
      <c r="Q286" s="84"/>
      <c r="R286" s="84"/>
      <c r="S286" s="84"/>
      <c r="T286" s="84"/>
      <c r="U286" s="84"/>
      <c r="V286" s="84"/>
      <c r="W286" s="84"/>
      <c r="Y286" s="84"/>
      <c r="Z286" s="84"/>
      <c r="AA286" s="84"/>
      <c r="AB286" s="84"/>
      <c r="AC286" s="84"/>
      <c r="AD286" s="84"/>
      <c r="AE286" s="84"/>
      <c r="AF286" s="84"/>
      <c r="AG286" s="84"/>
      <c r="AH286" s="84"/>
      <c r="AI286" s="84"/>
      <c r="AL286" s="84"/>
      <c r="AM286" s="84"/>
      <c r="AN286" s="84"/>
      <c r="AO286" s="84"/>
      <c r="AP286" s="84"/>
      <c r="AQ286" s="84"/>
      <c r="AR286" s="84"/>
      <c r="AS286" s="84"/>
      <c r="AT286" s="84"/>
      <c r="AU286" s="84"/>
      <c r="AV286" s="84"/>
      <c r="AY286" s="84"/>
      <c r="AZ286" s="84"/>
      <c r="BA286" s="84"/>
      <c r="BB286" s="84"/>
      <c r="BC286" s="84"/>
      <c r="BD286" s="84"/>
      <c r="BE286" s="84"/>
      <c r="BF286" s="942"/>
      <c r="BG286" s="942"/>
      <c r="BH286" s="942"/>
      <c r="BI286" s="84"/>
      <c r="BL286" s="84"/>
      <c r="BM286" s="84"/>
      <c r="BN286" s="84"/>
      <c r="BO286" s="84"/>
      <c r="BP286" s="84"/>
      <c r="BQ286" s="84"/>
      <c r="BR286" s="84"/>
      <c r="BS286" s="942"/>
      <c r="BT286" s="942"/>
      <c r="BU286" s="942"/>
      <c r="BV286" s="84"/>
    </row>
    <row r="287" spans="14:74" ht="14.25">
      <c r="N287" s="84"/>
      <c r="O287" s="84"/>
      <c r="P287" s="84"/>
      <c r="Q287" s="84"/>
      <c r="R287" s="84"/>
      <c r="S287" s="84"/>
      <c r="T287" s="84"/>
      <c r="U287" s="84"/>
      <c r="V287" s="84"/>
      <c r="W287" s="84"/>
      <c r="Y287" s="84"/>
      <c r="Z287" s="84"/>
      <c r="AA287" s="84"/>
      <c r="AB287" s="84"/>
      <c r="AC287" s="84"/>
      <c r="AD287" s="84"/>
      <c r="AE287" s="84"/>
      <c r="AF287" s="84"/>
      <c r="AG287" s="84"/>
      <c r="AH287" s="84"/>
      <c r="AI287" s="84"/>
      <c r="AL287" s="84"/>
      <c r="AM287" s="84"/>
      <c r="AN287" s="84"/>
      <c r="AO287" s="84"/>
      <c r="AP287" s="84"/>
      <c r="AQ287" s="84"/>
      <c r="AR287" s="84"/>
      <c r="AS287" s="84"/>
      <c r="AT287" s="84"/>
      <c r="AU287" s="84"/>
      <c r="AV287" s="84"/>
      <c r="AY287" s="84"/>
      <c r="AZ287" s="84"/>
      <c r="BA287" s="84"/>
      <c r="BB287" s="84"/>
      <c r="BC287" s="84"/>
      <c r="BD287" s="84"/>
      <c r="BE287" s="84"/>
      <c r="BF287" s="942"/>
      <c r="BG287" s="942"/>
      <c r="BH287" s="942"/>
      <c r="BI287" s="84"/>
      <c r="BL287" s="84"/>
      <c r="BM287" s="84"/>
      <c r="BN287" s="84"/>
      <c r="BO287" s="84"/>
      <c r="BP287" s="84"/>
      <c r="BQ287" s="84"/>
      <c r="BR287" s="84"/>
      <c r="BS287" s="942"/>
      <c r="BT287" s="942"/>
      <c r="BU287" s="942"/>
      <c r="BV287" s="84"/>
    </row>
    <row r="288" spans="14:74" ht="14.25">
      <c r="N288" s="84"/>
      <c r="O288" s="84"/>
      <c r="P288" s="84"/>
      <c r="Q288" s="84"/>
      <c r="R288" s="84"/>
      <c r="S288" s="84"/>
      <c r="T288" s="84"/>
      <c r="U288" s="84"/>
      <c r="V288" s="84"/>
      <c r="W288" s="84"/>
      <c r="Y288" s="84"/>
      <c r="Z288" s="84"/>
      <c r="AA288" s="84"/>
      <c r="AB288" s="84"/>
      <c r="AC288" s="84"/>
      <c r="AD288" s="84"/>
      <c r="AE288" s="84"/>
      <c r="AF288" s="84"/>
      <c r="AG288" s="84"/>
      <c r="AH288" s="84"/>
      <c r="AI288" s="84"/>
      <c r="AL288" s="84"/>
      <c r="AM288" s="84"/>
      <c r="AN288" s="84"/>
      <c r="AO288" s="84"/>
      <c r="AP288" s="84"/>
      <c r="AQ288" s="84"/>
      <c r="AR288" s="84"/>
      <c r="AS288" s="84"/>
      <c r="AT288" s="84"/>
      <c r="AU288" s="84"/>
      <c r="AV288" s="84"/>
      <c r="AY288" s="84"/>
      <c r="AZ288" s="84"/>
      <c r="BA288" s="84"/>
      <c r="BB288" s="84"/>
      <c r="BC288" s="84"/>
      <c r="BD288" s="84"/>
      <c r="BE288" s="84"/>
      <c r="BF288" s="942"/>
      <c r="BG288" s="942"/>
      <c r="BH288" s="942"/>
      <c r="BI288" s="84"/>
      <c r="BL288" s="84"/>
      <c r="BM288" s="84"/>
      <c r="BN288" s="84"/>
      <c r="BO288" s="84"/>
      <c r="BP288" s="84"/>
      <c r="BQ288" s="84"/>
      <c r="BR288" s="84"/>
      <c r="BS288" s="942"/>
      <c r="BT288" s="942"/>
      <c r="BU288" s="942"/>
      <c r="BV288" s="84"/>
    </row>
    <row r="289" spans="14:74" ht="14.25">
      <c r="N289" s="84"/>
      <c r="O289" s="84"/>
      <c r="P289" s="84"/>
      <c r="Q289" s="84"/>
      <c r="R289" s="84"/>
      <c r="S289" s="84"/>
      <c r="T289" s="84"/>
      <c r="U289" s="84"/>
      <c r="V289" s="84"/>
      <c r="W289" s="84"/>
      <c r="Y289" s="84"/>
      <c r="Z289" s="84"/>
      <c r="AA289" s="84"/>
      <c r="AB289" s="84"/>
      <c r="AC289" s="84"/>
      <c r="AD289" s="84"/>
      <c r="AE289" s="84"/>
      <c r="AF289" s="84"/>
      <c r="AG289" s="84"/>
      <c r="AH289" s="84"/>
      <c r="AI289" s="84"/>
      <c r="AL289" s="84"/>
      <c r="AM289" s="84"/>
      <c r="AN289" s="84"/>
      <c r="AO289" s="84"/>
      <c r="AP289" s="84"/>
      <c r="AQ289" s="84"/>
      <c r="AR289" s="84"/>
      <c r="AS289" s="84"/>
      <c r="AT289" s="84"/>
      <c r="AU289" s="84"/>
      <c r="AV289" s="84"/>
      <c r="AY289" s="84"/>
      <c r="AZ289" s="84"/>
      <c r="BA289" s="84"/>
      <c r="BB289" s="84"/>
      <c r="BC289" s="84"/>
      <c r="BD289" s="84"/>
      <c r="BE289" s="84"/>
      <c r="BF289" s="942"/>
      <c r="BG289" s="942"/>
      <c r="BH289" s="942"/>
      <c r="BI289" s="84"/>
      <c r="BL289" s="84"/>
      <c r="BM289" s="84"/>
      <c r="BN289" s="84"/>
      <c r="BO289" s="84"/>
      <c r="BP289" s="84"/>
      <c r="BQ289" s="84"/>
      <c r="BR289" s="84"/>
      <c r="BS289" s="942"/>
      <c r="BT289" s="942"/>
      <c r="BU289" s="942"/>
      <c r="BV289" s="84"/>
    </row>
    <row r="290" spans="14:74" ht="14.25">
      <c r="N290" s="84"/>
      <c r="O290" s="84"/>
      <c r="P290" s="84"/>
      <c r="Q290" s="84"/>
      <c r="R290" s="84"/>
      <c r="S290" s="84"/>
      <c r="T290" s="84"/>
      <c r="U290" s="84"/>
      <c r="V290" s="84"/>
      <c r="W290" s="84"/>
      <c r="Y290" s="84"/>
      <c r="Z290" s="84"/>
      <c r="AA290" s="84"/>
      <c r="AB290" s="84"/>
      <c r="AC290" s="84"/>
      <c r="AD290" s="84"/>
      <c r="AE290" s="84"/>
      <c r="AF290" s="84"/>
      <c r="AG290" s="84"/>
      <c r="AH290" s="84"/>
      <c r="AI290" s="84"/>
      <c r="AL290" s="84"/>
      <c r="AM290" s="84"/>
      <c r="AN290" s="84"/>
      <c r="AO290" s="84"/>
      <c r="AP290" s="84"/>
      <c r="AQ290" s="84"/>
      <c r="AR290" s="84"/>
      <c r="AS290" s="84"/>
      <c r="AT290" s="84"/>
      <c r="AU290" s="84"/>
      <c r="AV290" s="84"/>
      <c r="AY290" s="84"/>
      <c r="AZ290" s="84"/>
      <c r="BA290" s="84"/>
      <c r="BB290" s="84"/>
      <c r="BC290" s="84"/>
      <c r="BD290" s="84"/>
      <c r="BE290" s="84"/>
      <c r="BF290" s="942"/>
      <c r="BG290" s="942"/>
      <c r="BH290" s="942"/>
      <c r="BI290" s="84"/>
      <c r="BL290" s="84"/>
      <c r="BM290" s="84"/>
      <c r="BN290" s="84"/>
      <c r="BO290" s="84"/>
      <c r="BP290" s="84"/>
      <c r="BQ290" s="84"/>
      <c r="BR290" s="84"/>
      <c r="BS290" s="942"/>
      <c r="BT290" s="942"/>
      <c r="BU290" s="942"/>
      <c r="BV290" s="84"/>
    </row>
    <row r="291" spans="14:74" ht="14.25">
      <c r="N291" s="84"/>
      <c r="O291" s="84"/>
      <c r="P291" s="84"/>
      <c r="Q291" s="84"/>
      <c r="R291" s="84"/>
      <c r="S291" s="84"/>
      <c r="T291" s="84"/>
      <c r="U291" s="84"/>
      <c r="V291" s="84"/>
      <c r="W291" s="84"/>
      <c r="Y291" s="84"/>
      <c r="Z291" s="84"/>
      <c r="AA291" s="84"/>
      <c r="AB291" s="84"/>
      <c r="AC291" s="84"/>
      <c r="AD291" s="84"/>
      <c r="AE291" s="84"/>
      <c r="AF291" s="84"/>
      <c r="AG291" s="84"/>
      <c r="AH291" s="84"/>
      <c r="AI291" s="84"/>
      <c r="AL291" s="84"/>
      <c r="AM291" s="84"/>
      <c r="AN291" s="84"/>
      <c r="AO291" s="84"/>
      <c r="AP291" s="84"/>
      <c r="AQ291" s="84"/>
      <c r="AR291" s="84"/>
      <c r="AS291" s="84"/>
      <c r="AT291" s="84"/>
      <c r="AU291" s="84"/>
      <c r="AV291" s="84"/>
      <c r="AY291" s="84"/>
      <c r="AZ291" s="84"/>
      <c r="BA291" s="84"/>
      <c r="BB291" s="84"/>
      <c r="BC291" s="84"/>
      <c r="BD291" s="84"/>
      <c r="BE291" s="84"/>
      <c r="BF291" s="942"/>
      <c r="BG291" s="942"/>
      <c r="BH291" s="942"/>
      <c r="BI291" s="84"/>
      <c r="BL291" s="84"/>
      <c r="BM291" s="84"/>
      <c r="BN291" s="84"/>
      <c r="BO291" s="84"/>
      <c r="BP291" s="84"/>
      <c r="BQ291" s="84"/>
      <c r="BR291" s="84"/>
      <c r="BS291" s="942"/>
      <c r="BT291" s="942"/>
      <c r="BU291" s="942"/>
      <c r="BV291" s="84"/>
    </row>
    <row r="292" spans="14:74" ht="14.25">
      <c r="N292" s="84"/>
      <c r="O292" s="84"/>
      <c r="P292" s="84"/>
      <c r="Q292" s="84"/>
      <c r="R292" s="84"/>
      <c r="S292" s="84"/>
      <c r="T292" s="84"/>
      <c r="U292" s="84"/>
      <c r="V292" s="84"/>
      <c r="W292" s="84"/>
      <c r="Y292" s="84"/>
      <c r="Z292" s="84"/>
      <c r="AA292" s="84"/>
      <c r="AB292" s="84"/>
      <c r="AC292" s="84"/>
      <c r="AD292" s="84"/>
      <c r="AE292" s="84"/>
      <c r="AF292" s="84"/>
      <c r="AG292" s="84"/>
      <c r="AH292" s="84"/>
      <c r="AI292" s="84"/>
      <c r="AL292" s="84"/>
      <c r="AM292" s="84"/>
      <c r="AN292" s="84"/>
      <c r="AO292" s="84"/>
      <c r="AP292" s="84"/>
      <c r="AQ292" s="84"/>
      <c r="AR292" s="84"/>
      <c r="AS292" s="84"/>
      <c r="AT292" s="84"/>
      <c r="AU292" s="84"/>
      <c r="AV292" s="84"/>
      <c r="AY292" s="84"/>
      <c r="AZ292" s="84"/>
      <c r="BA292" s="84"/>
      <c r="BB292" s="84"/>
      <c r="BC292" s="84"/>
      <c r="BD292" s="84"/>
      <c r="BE292" s="84"/>
      <c r="BF292" s="942"/>
      <c r="BG292" s="942"/>
      <c r="BH292" s="942"/>
      <c r="BI292" s="84"/>
      <c r="BL292" s="84"/>
      <c r="BM292" s="84"/>
      <c r="BN292" s="84"/>
      <c r="BO292" s="84"/>
      <c r="BP292" s="84"/>
      <c r="BQ292" s="84"/>
      <c r="BR292" s="84"/>
      <c r="BS292" s="942"/>
      <c r="BT292" s="942"/>
      <c r="BU292" s="942"/>
      <c r="BV292" s="84"/>
    </row>
    <row r="293" spans="14:74" ht="14.25">
      <c r="N293" s="84"/>
      <c r="O293" s="84"/>
      <c r="P293" s="84"/>
      <c r="Q293" s="84"/>
      <c r="R293" s="84"/>
      <c r="S293" s="84"/>
      <c r="T293" s="84"/>
      <c r="U293" s="84"/>
      <c r="V293" s="84"/>
      <c r="W293" s="84"/>
      <c r="Y293" s="84"/>
      <c r="Z293" s="84"/>
      <c r="AA293" s="84"/>
      <c r="AB293" s="84"/>
      <c r="AC293" s="84"/>
      <c r="AD293" s="84"/>
      <c r="AE293" s="84"/>
      <c r="AF293" s="84"/>
      <c r="AG293" s="84"/>
      <c r="AH293" s="84"/>
      <c r="AI293" s="84"/>
      <c r="AL293" s="84"/>
      <c r="AM293" s="84"/>
      <c r="AN293" s="84"/>
      <c r="AO293" s="84"/>
      <c r="AP293" s="84"/>
      <c r="AQ293" s="84"/>
      <c r="AR293" s="84"/>
      <c r="AS293" s="84"/>
      <c r="AT293" s="84"/>
      <c r="AU293" s="84"/>
      <c r="AV293" s="84"/>
      <c r="AY293" s="84"/>
      <c r="AZ293" s="84"/>
      <c r="BA293" s="84"/>
      <c r="BB293" s="84"/>
      <c r="BC293" s="84"/>
      <c r="BD293" s="84"/>
      <c r="BE293" s="84"/>
      <c r="BF293" s="942"/>
      <c r="BG293" s="942"/>
      <c r="BH293" s="942"/>
      <c r="BI293" s="84"/>
      <c r="BL293" s="84"/>
      <c r="BM293" s="84"/>
      <c r="BN293" s="84"/>
      <c r="BO293" s="84"/>
      <c r="BP293" s="84"/>
      <c r="BQ293" s="84"/>
      <c r="BR293" s="84"/>
      <c r="BS293" s="942"/>
      <c r="BT293" s="942"/>
      <c r="BU293" s="942"/>
      <c r="BV293" s="84"/>
    </row>
    <row r="294" spans="14:74" ht="14.25">
      <c r="N294" s="84"/>
      <c r="O294" s="84"/>
      <c r="P294" s="84"/>
      <c r="Q294" s="84"/>
      <c r="R294" s="84"/>
      <c r="S294" s="84"/>
      <c r="T294" s="84"/>
      <c r="U294" s="84"/>
      <c r="V294" s="84"/>
      <c r="W294" s="84"/>
      <c r="Y294" s="84"/>
      <c r="Z294" s="84"/>
      <c r="AA294" s="84"/>
      <c r="AB294" s="84"/>
      <c r="AC294" s="84"/>
      <c r="AD294" s="84"/>
      <c r="AE294" s="84"/>
      <c r="AF294" s="84"/>
      <c r="AG294" s="84"/>
      <c r="AH294" s="84"/>
      <c r="AI294" s="84"/>
      <c r="AL294" s="84"/>
      <c r="AM294" s="84"/>
      <c r="AN294" s="84"/>
      <c r="AO294" s="84"/>
      <c r="AP294" s="84"/>
      <c r="AQ294" s="84"/>
      <c r="AR294" s="84"/>
      <c r="AS294" s="84"/>
      <c r="AT294" s="84"/>
      <c r="AU294" s="84"/>
      <c r="AV294" s="84"/>
      <c r="AY294" s="84"/>
      <c r="AZ294" s="84"/>
      <c r="BA294" s="84"/>
      <c r="BB294" s="84"/>
      <c r="BC294" s="84"/>
      <c r="BD294" s="84"/>
      <c r="BE294" s="84"/>
      <c r="BF294" s="942"/>
      <c r="BG294" s="942"/>
      <c r="BH294" s="942"/>
      <c r="BI294" s="84"/>
      <c r="BL294" s="84"/>
      <c r="BM294" s="84"/>
      <c r="BN294" s="84"/>
      <c r="BO294" s="84"/>
      <c r="BP294" s="84"/>
      <c r="BQ294" s="84"/>
      <c r="BR294" s="84"/>
      <c r="BS294" s="942"/>
      <c r="BT294" s="942"/>
      <c r="BU294" s="942"/>
      <c r="BV294" s="84"/>
    </row>
    <row r="295" spans="14:74" ht="14.25">
      <c r="N295" s="84"/>
      <c r="O295" s="84"/>
      <c r="P295" s="84"/>
      <c r="Q295" s="84"/>
      <c r="R295" s="84"/>
      <c r="S295" s="84"/>
      <c r="T295" s="84"/>
      <c r="U295" s="84"/>
      <c r="V295" s="84"/>
      <c r="W295" s="84"/>
      <c r="Y295" s="84"/>
      <c r="Z295" s="84"/>
      <c r="AA295" s="84"/>
      <c r="AB295" s="84"/>
      <c r="AC295" s="84"/>
      <c r="AD295" s="84"/>
      <c r="AE295" s="84"/>
      <c r="AF295" s="84"/>
      <c r="AG295" s="84"/>
      <c r="AH295" s="84"/>
      <c r="AI295" s="84"/>
      <c r="AL295" s="84"/>
      <c r="AM295" s="84"/>
      <c r="AN295" s="84"/>
      <c r="AO295" s="84"/>
      <c r="AP295" s="84"/>
      <c r="AQ295" s="84"/>
      <c r="AR295" s="84"/>
      <c r="AS295" s="84"/>
      <c r="AT295" s="84"/>
      <c r="AU295" s="84"/>
      <c r="AV295" s="84"/>
      <c r="AY295" s="84"/>
      <c r="AZ295" s="84"/>
      <c r="BA295" s="84"/>
      <c r="BB295" s="84"/>
      <c r="BC295" s="84"/>
      <c r="BD295" s="84"/>
      <c r="BE295" s="84"/>
      <c r="BF295" s="942"/>
      <c r="BG295" s="942"/>
      <c r="BH295" s="942"/>
      <c r="BI295" s="84"/>
      <c r="BL295" s="84"/>
      <c r="BM295" s="84"/>
      <c r="BN295" s="84"/>
      <c r="BO295" s="84"/>
      <c r="BP295" s="84"/>
      <c r="BQ295" s="84"/>
      <c r="BR295" s="84"/>
      <c r="BS295" s="942"/>
      <c r="BT295" s="942"/>
      <c r="BU295" s="942"/>
      <c r="BV295" s="84"/>
    </row>
    <row r="296" spans="14:74" ht="14.25">
      <c r="N296" s="84"/>
      <c r="O296" s="84"/>
      <c r="P296" s="84"/>
      <c r="Q296" s="84"/>
      <c r="R296" s="84"/>
      <c r="S296" s="84"/>
      <c r="T296" s="84"/>
      <c r="U296" s="84"/>
      <c r="V296" s="84"/>
      <c r="W296" s="84"/>
      <c r="Y296" s="84"/>
      <c r="Z296" s="84"/>
      <c r="AA296" s="84"/>
      <c r="AB296" s="84"/>
      <c r="AC296" s="84"/>
      <c r="AD296" s="84"/>
      <c r="AE296" s="84"/>
      <c r="AF296" s="84"/>
      <c r="AG296" s="84"/>
      <c r="AH296" s="84"/>
      <c r="AI296" s="84"/>
      <c r="AL296" s="84"/>
      <c r="AM296" s="84"/>
      <c r="AN296" s="84"/>
      <c r="AO296" s="84"/>
      <c r="AP296" s="84"/>
      <c r="AQ296" s="84"/>
      <c r="AR296" s="84"/>
      <c r="AS296" s="84"/>
      <c r="AT296" s="84"/>
      <c r="AU296" s="84"/>
      <c r="AV296" s="84"/>
      <c r="AY296" s="84"/>
      <c r="AZ296" s="84"/>
      <c r="BA296" s="84"/>
      <c r="BB296" s="84"/>
      <c r="BC296" s="84"/>
      <c r="BD296" s="84"/>
      <c r="BE296" s="84"/>
      <c r="BF296" s="942"/>
      <c r="BG296" s="942"/>
      <c r="BH296" s="942"/>
      <c r="BI296" s="84"/>
      <c r="BL296" s="84"/>
      <c r="BM296" s="84"/>
      <c r="BN296" s="84"/>
      <c r="BO296" s="84"/>
      <c r="BP296" s="84"/>
      <c r="BQ296" s="84"/>
      <c r="BR296" s="84"/>
      <c r="BS296" s="942"/>
      <c r="BT296" s="942"/>
      <c r="BU296" s="942"/>
      <c r="BV296" s="84"/>
    </row>
    <row r="297" spans="14:74" ht="14.25">
      <c r="N297" s="84"/>
      <c r="O297" s="84"/>
      <c r="P297" s="84"/>
      <c r="Q297" s="84"/>
      <c r="R297" s="84"/>
      <c r="S297" s="84"/>
      <c r="T297" s="84"/>
      <c r="U297" s="84"/>
      <c r="V297" s="84"/>
      <c r="W297" s="84"/>
      <c r="Y297" s="84"/>
      <c r="Z297" s="84"/>
      <c r="AA297" s="84"/>
      <c r="AB297" s="84"/>
      <c r="AC297" s="84"/>
      <c r="AD297" s="84"/>
      <c r="AE297" s="84"/>
      <c r="AF297" s="84"/>
      <c r="AG297" s="84"/>
      <c r="AH297" s="84"/>
      <c r="AI297" s="84"/>
      <c r="AL297" s="84"/>
      <c r="AM297" s="84"/>
      <c r="AN297" s="84"/>
      <c r="AO297" s="84"/>
      <c r="AP297" s="84"/>
      <c r="AQ297" s="84"/>
      <c r="AR297" s="84"/>
      <c r="AS297" s="84"/>
      <c r="AT297" s="84"/>
      <c r="AU297" s="84"/>
      <c r="AV297" s="84"/>
      <c r="AY297" s="84"/>
      <c r="AZ297" s="84"/>
      <c r="BA297" s="84"/>
      <c r="BB297" s="84"/>
      <c r="BC297" s="84"/>
      <c r="BD297" s="84"/>
      <c r="BE297" s="84"/>
      <c r="BF297" s="942"/>
      <c r="BG297" s="942"/>
      <c r="BH297" s="942"/>
      <c r="BI297" s="84"/>
      <c r="BL297" s="84"/>
      <c r="BM297" s="84"/>
      <c r="BN297" s="84"/>
      <c r="BO297" s="84"/>
      <c r="BP297" s="84"/>
      <c r="BQ297" s="84"/>
      <c r="BR297" s="84"/>
      <c r="BS297" s="942"/>
      <c r="BT297" s="942"/>
      <c r="BU297" s="942"/>
      <c r="BV297" s="84"/>
    </row>
    <row r="298" spans="14:74" ht="14.25">
      <c r="N298" s="84"/>
      <c r="O298" s="84"/>
      <c r="P298" s="84"/>
      <c r="Q298" s="84"/>
      <c r="R298" s="84"/>
      <c r="S298" s="84"/>
      <c r="T298" s="84"/>
      <c r="U298" s="84"/>
      <c r="V298" s="84"/>
      <c r="W298" s="84"/>
      <c r="Y298" s="84"/>
      <c r="Z298" s="84"/>
      <c r="AA298" s="84"/>
      <c r="AB298" s="84"/>
      <c r="AC298" s="84"/>
      <c r="AD298" s="84"/>
      <c r="AE298" s="84"/>
      <c r="AF298" s="84"/>
      <c r="AG298" s="84"/>
      <c r="AH298" s="84"/>
      <c r="AI298" s="84"/>
      <c r="AL298" s="84"/>
      <c r="AM298" s="84"/>
      <c r="AN298" s="84"/>
      <c r="AO298" s="84"/>
      <c r="AP298" s="84"/>
      <c r="AQ298" s="84"/>
      <c r="AR298" s="84"/>
      <c r="AS298" s="84"/>
      <c r="AT298" s="84"/>
      <c r="AU298" s="84"/>
      <c r="AV298" s="84"/>
      <c r="AY298" s="84"/>
      <c r="AZ298" s="84"/>
      <c r="BA298" s="84"/>
      <c r="BB298" s="84"/>
      <c r="BC298" s="84"/>
      <c r="BD298" s="84"/>
      <c r="BE298" s="84"/>
      <c r="BF298" s="942"/>
      <c r="BG298" s="942"/>
      <c r="BH298" s="942"/>
      <c r="BI298" s="84"/>
      <c r="BL298" s="84"/>
      <c r="BM298" s="84"/>
      <c r="BN298" s="84"/>
      <c r="BO298" s="84"/>
      <c r="BP298" s="84"/>
      <c r="BQ298" s="84"/>
      <c r="BR298" s="84"/>
      <c r="BS298" s="942"/>
      <c r="BT298" s="942"/>
      <c r="BU298" s="942"/>
      <c r="BV298" s="84"/>
    </row>
    <row r="299" spans="14:74" ht="14.25">
      <c r="N299" s="84"/>
      <c r="O299" s="84"/>
      <c r="P299" s="84"/>
      <c r="Q299" s="84"/>
      <c r="R299" s="84"/>
      <c r="S299" s="84"/>
      <c r="T299" s="84"/>
      <c r="U299" s="84"/>
      <c r="V299" s="84"/>
      <c r="W299" s="84"/>
      <c r="Y299" s="84"/>
      <c r="Z299" s="84"/>
      <c r="AA299" s="84"/>
      <c r="AB299" s="84"/>
      <c r="AC299" s="84"/>
      <c r="AD299" s="84"/>
      <c r="AE299" s="84"/>
      <c r="AF299" s="84"/>
      <c r="AG299" s="84"/>
      <c r="AH299" s="84"/>
      <c r="AI299" s="84"/>
      <c r="AL299" s="84"/>
      <c r="AM299" s="84"/>
      <c r="AN299" s="84"/>
      <c r="AO299" s="84"/>
      <c r="AP299" s="84"/>
      <c r="AQ299" s="84"/>
      <c r="AR299" s="84"/>
      <c r="AS299" s="84"/>
      <c r="AT299" s="84"/>
      <c r="AU299" s="84"/>
      <c r="AV299" s="84"/>
      <c r="AY299" s="84"/>
      <c r="AZ299" s="84"/>
      <c r="BA299" s="84"/>
      <c r="BB299" s="84"/>
      <c r="BC299" s="84"/>
      <c r="BD299" s="84"/>
      <c r="BE299" s="84"/>
      <c r="BF299" s="942"/>
      <c r="BG299" s="942"/>
      <c r="BH299" s="942"/>
      <c r="BI299" s="84"/>
      <c r="BL299" s="84"/>
      <c r="BM299" s="84"/>
      <c r="BN299" s="84"/>
      <c r="BO299" s="84"/>
      <c r="BP299" s="84"/>
      <c r="BQ299" s="84"/>
      <c r="BR299" s="84"/>
      <c r="BS299" s="942"/>
      <c r="BT299" s="942"/>
      <c r="BU299" s="942"/>
      <c r="BV299" s="84"/>
    </row>
    <row r="300" spans="14:74" ht="14.25">
      <c r="N300" s="84"/>
      <c r="O300" s="84"/>
      <c r="P300" s="84"/>
      <c r="Q300" s="84"/>
      <c r="R300" s="84"/>
      <c r="S300" s="84"/>
      <c r="T300" s="84"/>
      <c r="U300" s="84"/>
      <c r="V300" s="84"/>
      <c r="W300" s="84"/>
      <c r="Y300" s="84"/>
      <c r="Z300" s="84"/>
      <c r="AA300" s="84"/>
      <c r="AB300" s="84"/>
      <c r="AC300" s="84"/>
      <c r="AD300" s="84"/>
      <c r="AE300" s="84"/>
      <c r="AF300" s="84"/>
      <c r="AG300" s="84"/>
      <c r="AH300" s="84"/>
      <c r="AI300" s="84"/>
      <c r="AL300" s="84"/>
      <c r="AM300" s="84"/>
      <c r="AN300" s="84"/>
      <c r="AO300" s="84"/>
      <c r="AP300" s="84"/>
      <c r="AQ300" s="84"/>
      <c r="AR300" s="84"/>
      <c r="AS300" s="84"/>
      <c r="AT300" s="84"/>
      <c r="AU300" s="84"/>
      <c r="AV300" s="84"/>
      <c r="AY300" s="84"/>
      <c r="AZ300" s="84"/>
      <c r="BA300" s="84"/>
      <c r="BB300" s="84"/>
      <c r="BC300" s="84"/>
      <c r="BD300" s="84"/>
      <c r="BE300" s="84"/>
      <c r="BF300" s="942"/>
      <c r="BG300" s="942"/>
      <c r="BH300" s="942"/>
      <c r="BI300" s="84"/>
      <c r="BL300" s="84"/>
      <c r="BM300" s="84"/>
      <c r="BN300" s="84"/>
      <c r="BO300" s="84"/>
      <c r="BP300" s="84"/>
      <c r="BQ300" s="84"/>
      <c r="BR300" s="84"/>
      <c r="BS300" s="942"/>
      <c r="BT300" s="942"/>
      <c r="BU300" s="942"/>
      <c r="BV300" s="84"/>
    </row>
    <row r="301" spans="14:74" ht="14.25">
      <c r="N301" s="84"/>
      <c r="O301" s="84"/>
      <c r="P301" s="84"/>
      <c r="Q301" s="84"/>
      <c r="R301" s="84"/>
      <c r="S301" s="84"/>
      <c r="T301" s="84"/>
      <c r="U301" s="84"/>
      <c r="V301" s="84"/>
      <c r="W301" s="84"/>
      <c r="Y301" s="84"/>
      <c r="Z301" s="84"/>
      <c r="AA301" s="84"/>
      <c r="AB301" s="84"/>
      <c r="AC301" s="84"/>
      <c r="AD301" s="84"/>
      <c r="AE301" s="84"/>
      <c r="AF301" s="84"/>
      <c r="AG301" s="84"/>
      <c r="AH301" s="84"/>
      <c r="AI301" s="84"/>
      <c r="AL301" s="84"/>
      <c r="AM301" s="84"/>
      <c r="AN301" s="84"/>
      <c r="AO301" s="84"/>
      <c r="AP301" s="84"/>
      <c r="AQ301" s="84"/>
      <c r="AR301" s="84"/>
      <c r="AS301" s="84"/>
      <c r="AT301" s="84"/>
      <c r="AU301" s="84"/>
      <c r="AV301" s="84"/>
      <c r="AY301" s="84"/>
      <c r="AZ301" s="84"/>
      <c r="BA301" s="84"/>
      <c r="BB301" s="84"/>
      <c r="BC301" s="84"/>
      <c r="BD301" s="84"/>
      <c r="BE301" s="84"/>
      <c r="BF301" s="942"/>
      <c r="BG301" s="942"/>
      <c r="BH301" s="942"/>
      <c r="BI301" s="84"/>
      <c r="BL301" s="84"/>
      <c r="BM301" s="84"/>
      <c r="BN301" s="84"/>
      <c r="BO301" s="84"/>
      <c r="BP301" s="84"/>
      <c r="BQ301" s="84"/>
      <c r="BR301" s="84"/>
      <c r="BS301" s="942"/>
      <c r="BT301" s="942"/>
      <c r="BU301" s="942"/>
      <c r="BV301" s="84"/>
    </row>
    <row r="302" spans="14:74" ht="14.25">
      <c r="N302" s="84"/>
      <c r="O302" s="84"/>
      <c r="P302" s="84"/>
      <c r="Q302" s="84"/>
      <c r="R302" s="84"/>
      <c r="S302" s="84"/>
      <c r="T302" s="84"/>
      <c r="U302" s="84"/>
      <c r="V302" s="84"/>
      <c r="W302" s="84"/>
      <c r="Y302" s="84"/>
      <c r="Z302" s="84"/>
      <c r="AA302" s="84"/>
      <c r="AB302" s="84"/>
      <c r="AC302" s="84"/>
      <c r="AD302" s="84"/>
      <c r="AE302" s="84"/>
      <c r="AF302" s="84"/>
      <c r="AG302" s="84"/>
      <c r="AH302" s="84"/>
      <c r="AI302" s="84"/>
      <c r="AL302" s="84"/>
      <c r="AM302" s="84"/>
      <c r="AN302" s="84"/>
      <c r="AO302" s="84"/>
      <c r="AP302" s="84"/>
      <c r="AQ302" s="84"/>
      <c r="AR302" s="84"/>
      <c r="AS302" s="84"/>
      <c r="AT302" s="84"/>
      <c r="AU302" s="84"/>
      <c r="AV302" s="84"/>
      <c r="AY302" s="84"/>
      <c r="AZ302" s="84"/>
      <c r="BA302" s="84"/>
      <c r="BB302" s="84"/>
      <c r="BC302" s="84"/>
      <c r="BD302" s="84"/>
      <c r="BE302" s="84"/>
      <c r="BF302" s="942"/>
      <c r="BG302" s="942"/>
      <c r="BH302" s="942"/>
      <c r="BI302" s="84"/>
      <c r="BL302" s="84"/>
      <c r="BM302" s="84"/>
      <c r="BN302" s="84"/>
      <c r="BO302" s="84"/>
      <c r="BP302" s="84"/>
      <c r="BQ302" s="84"/>
      <c r="BR302" s="84"/>
      <c r="BS302" s="942"/>
      <c r="BT302" s="942"/>
      <c r="BU302" s="942"/>
      <c r="BV302" s="84"/>
    </row>
    <row r="303" spans="14:74" ht="14.25">
      <c r="N303" s="84"/>
      <c r="O303" s="84"/>
      <c r="P303" s="84"/>
      <c r="Q303" s="84"/>
      <c r="R303" s="84"/>
      <c r="S303" s="84"/>
      <c r="T303" s="84"/>
      <c r="U303" s="84"/>
      <c r="V303" s="84"/>
      <c r="W303" s="84"/>
      <c r="Y303" s="84"/>
      <c r="Z303" s="84"/>
      <c r="AA303" s="84"/>
      <c r="AB303" s="84"/>
      <c r="AC303" s="84"/>
      <c r="AD303" s="84"/>
      <c r="AE303" s="84"/>
      <c r="AF303" s="84"/>
      <c r="AG303" s="84"/>
      <c r="AH303" s="84"/>
      <c r="AI303" s="84"/>
      <c r="AL303" s="84"/>
      <c r="AM303" s="84"/>
      <c r="AN303" s="84"/>
      <c r="AO303" s="84"/>
      <c r="AP303" s="84"/>
      <c r="AQ303" s="84"/>
      <c r="AR303" s="84"/>
      <c r="AS303" s="84"/>
      <c r="AT303" s="84"/>
      <c r="AU303" s="84"/>
      <c r="AV303" s="84"/>
      <c r="AY303" s="84"/>
      <c r="AZ303" s="84"/>
      <c r="BA303" s="84"/>
      <c r="BB303" s="84"/>
      <c r="BC303" s="84"/>
      <c r="BD303" s="84"/>
      <c r="BE303" s="84"/>
      <c r="BF303" s="942"/>
      <c r="BG303" s="942"/>
      <c r="BH303" s="942"/>
      <c r="BI303" s="84"/>
      <c r="BL303" s="84"/>
      <c r="BM303" s="84"/>
      <c r="BN303" s="84"/>
      <c r="BO303" s="84"/>
      <c r="BP303" s="84"/>
      <c r="BQ303" s="84"/>
      <c r="BR303" s="84"/>
      <c r="BS303" s="942"/>
      <c r="BT303" s="942"/>
      <c r="BU303" s="942"/>
      <c r="BV303" s="84"/>
    </row>
    <row r="304" spans="14:74" ht="14.25">
      <c r="N304" s="84"/>
      <c r="O304" s="84"/>
      <c r="P304" s="84"/>
      <c r="Q304" s="84"/>
      <c r="R304" s="84"/>
      <c r="S304" s="84"/>
      <c r="T304" s="84"/>
      <c r="U304" s="84"/>
      <c r="V304" s="84"/>
      <c r="W304" s="84"/>
      <c r="Y304" s="84"/>
      <c r="Z304" s="84"/>
      <c r="AA304" s="84"/>
      <c r="AB304" s="84"/>
      <c r="AC304" s="84"/>
      <c r="AD304" s="84"/>
      <c r="AE304" s="84"/>
      <c r="AF304" s="84"/>
      <c r="AG304" s="84"/>
      <c r="AH304" s="84"/>
      <c r="AI304" s="84"/>
      <c r="AL304" s="84"/>
      <c r="AM304" s="84"/>
      <c r="AN304" s="84"/>
      <c r="AO304" s="84"/>
      <c r="AP304" s="84"/>
      <c r="AQ304" s="84"/>
      <c r="AR304" s="84"/>
      <c r="AS304" s="84"/>
      <c r="AT304" s="84"/>
      <c r="AU304" s="84"/>
      <c r="AV304" s="84"/>
      <c r="AY304" s="84"/>
      <c r="AZ304" s="84"/>
      <c r="BA304" s="84"/>
      <c r="BB304" s="84"/>
      <c r="BC304" s="84"/>
      <c r="BD304" s="84"/>
      <c r="BE304" s="84"/>
      <c r="BF304" s="942"/>
      <c r="BG304" s="942"/>
      <c r="BH304" s="942"/>
      <c r="BI304" s="84"/>
      <c r="BL304" s="84"/>
      <c r="BM304" s="84"/>
      <c r="BN304" s="84"/>
      <c r="BO304" s="84"/>
      <c r="BP304" s="84"/>
      <c r="BQ304" s="84"/>
      <c r="BR304" s="84"/>
      <c r="BS304" s="942"/>
      <c r="BT304" s="942"/>
      <c r="BU304" s="942"/>
      <c r="BV304" s="84"/>
    </row>
    <row r="305" spans="14:74" ht="14.25">
      <c r="N305" s="84"/>
      <c r="O305" s="84"/>
      <c r="P305" s="84"/>
      <c r="Q305" s="84"/>
      <c r="R305" s="84"/>
      <c r="S305" s="84"/>
      <c r="T305" s="84"/>
      <c r="U305" s="84"/>
      <c r="V305" s="84"/>
      <c r="W305" s="84"/>
      <c r="Y305" s="84"/>
      <c r="Z305" s="84"/>
      <c r="AA305" s="84"/>
      <c r="AB305" s="84"/>
      <c r="AC305" s="84"/>
      <c r="AD305" s="84"/>
      <c r="AE305" s="84"/>
      <c r="AF305" s="84"/>
      <c r="AG305" s="84"/>
      <c r="AH305" s="84"/>
      <c r="AI305" s="84"/>
      <c r="AL305" s="84"/>
      <c r="AM305" s="84"/>
      <c r="AN305" s="84"/>
      <c r="AO305" s="84"/>
      <c r="AP305" s="84"/>
      <c r="AQ305" s="84"/>
      <c r="AR305" s="84"/>
      <c r="AS305" s="84"/>
      <c r="AT305" s="84"/>
      <c r="AU305" s="84"/>
      <c r="AV305" s="84"/>
      <c r="AY305" s="84"/>
      <c r="AZ305" s="84"/>
      <c r="BA305" s="84"/>
      <c r="BB305" s="84"/>
      <c r="BC305" s="84"/>
      <c r="BD305" s="84"/>
      <c r="BE305" s="84"/>
      <c r="BF305" s="942"/>
      <c r="BG305" s="942"/>
      <c r="BH305" s="942"/>
      <c r="BI305" s="84"/>
      <c r="BL305" s="84"/>
      <c r="BM305" s="84"/>
      <c r="BN305" s="84"/>
      <c r="BO305" s="84"/>
      <c r="BP305" s="84"/>
      <c r="BQ305" s="84"/>
      <c r="BR305" s="84"/>
      <c r="BS305" s="942"/>
      <c r="BT305" s="942"/>
      <c r="BU305" s="942"/>
      <c r="BV305" s="84"/>
    </row>
    <row r="306" spans="14:74" ht="14.25">
      <c r="N306" s="84"/>
      <c r="O306" s="84"/>
      <c r="P306" s="84"/>
      <c r="Q306" s="84"/>
      <c r="R306" s="84"/>
      <c r="S306" s="84"/>
      <c r="T306" s="84"/>
      <c r="U306" s="84"/>
      <c r="V306" s="84"/>
      <c r="W306" s="84"/>
      <c r="Y306" s="84"/>
      <c r="Z306" s="84"/>
      <c r="AA306" s="84"/>
      <c r="AB306" s="84"/>
      <c r="AC306" s="84"/>
      <c r="AD306" s="84"/>
      <c r="AE306" s="84"/>
      <c r="AF306" s="84"/>
      <c r="AG306" s="84"/>
      <c r="AH306" s="84"/>
      <c r="AI306" s="84"/>
      <c r="AL306" s="84"/>
      <c r="AM306" s="84"/>
      <c r="AN306" s="84"/>
      <c r="AO306" s="84"/>
      <c r="AP306" s="84"/>
      <c r="AQ306" s="84"/>
      <c r="AR306" s="84"/>
      <c r="AS306" s="84"/>
      <c r="AT306" s="84"/>
      <c r="AU306" s="84"/>
      <c r="AV306" s="84"/>
      <c r="AY306" s="84"/>
      <c r="AZ306" s="84"/>
      <c r="BA306" s="84"/>
      <c r="BB306" s="84"/>
      <c r="BC306" s="84"/>
      <c r="BD306" s="84"/>
      <c r="BE306" s="84"/>
      <c r="BF306" s="942"/>
      <c r="BG306" s="942"/>
      <c r="BH306" s="942"/>
      <c r="BI306" s="84"/>
      <c r="BL306" s="84"/>
      <c r="BM306" s="84"/>
      <c r="BN306" s="84"/>
      <c r="BO306" s="84"/>
      <c r="BP306" s="84"/>
      <c r="BQ306" s="84"/>
      <c r="BR306" s="84"/>
      <c r="BS306" s="942"/>
      <c r="BT306" s="942"/>
      <c r="BU306" s="942"/>
      <c r="BV306" s="84"/>
    </row>
    <row r="307" spans="14:74" ht="14.25">
      <c r="N307" s="84"/>
      <c r="O307" s="84"/>
      <c r="P307" s="84"/>
      <c r="Q307" s="84"/>
      <c r="R307" s="84"/>
      <c r="S307" s="84"/>
      <c r="T307" s="84"/>
      <c r="U307" s="84"/>
      <c r="V307" s="84"/>
      <c r="W307" s="84"/>
      <c r="Y307" s="84"/>
      <c r="Z307" s="84"/>
      <c r="AA307" s="84"/>
      <c r="AB307" s="84"/>
      <c r="AC307" s="84"/>
      <c r="AD307" s="84"/>
      <c r="AE307" s="84"/>
      <c r="AF307" s="84"/>
      <c r="AG307" s="84"/>
      <c r="AH307" s="84"/>
      <c r="AI307" s="84"/>
      <c r="AL307" s="84"/>
      <c r="AM307" s="84"/>
      <c r="AN307" s="84"/>
      <c r="AO307" s="84"/>
      <c r="AP307" s="84"/>
      <c r="AQ307" s="84"/>
      <c r="AR307" s="84"/>
      <c r="AS307" s="84"/>
      <c r="AT307" s="84"/>
      <c r="AU307" s="84"/>
      <c r="AV307" s="84"/>
      <c r="AY307" s="84"/>
      <c r="AZ307" s="84"/>
      <c r="BA307" s="84"/>
      <c r="BB307" s="84"/>
      <c r="BC307" s="84"/>
      <c r="BD307" s="84"/>
      <c r="BE307" s="84"/>
      <c r="BF307" s="942"/>
      <c r="BG307" s="942"/>
      <c r="BH307" s="942"/>
      <c r="BI307" s="84"/>
      <c r="BL307" s="84"/>
      <c r="BM307" s="84"/>
      <c r="BN307" s="84"/>
      <c r="BO307" s="84"/>
      <c r="BP307" s="84"/>
      <c r="BQ307" s="84"/>
      <c r="BR307" s="84"/>
      <c r="BS307" s="942"/>
      <c r="BT307" s="942"/>
      <c r="BU307" s="942"/>
      <c r="BV307" s="84"/>
    </row>
    <row r="308" spans="14:74" ht="14.25">
      <c r="N308" s="84"/>
      <c r="O308" s="84"/>
      <c r="P308" s="84"/>
      <c r="Q308" s="84"/>
      <c r="R308" s="84"/>
      <c r="S308" s="84"/>
      <c r="T308" s="84"/>
      <c r="U308" s="84"/>
      <c r="V308" s="84"/>
      <c r="W308" s="84"/>
      <c r="Y308" s="84"/>
      <c r="Z308" s="84"/>
      <c r="AA308" s="84"/>
      <c r="AB308" s="84"/>
      <c r="AC308" s="84"/>
      <c r="AD308" s="84"/>
      <c r="AE308" s="84"/>
      <c r="AF308" s="84"/>
      <c r="AG308" s="84"/>
      <c r="AH308" s="84"/>
      <c r="AI308" s="84"/>
      <c r="AL308" s="84"/>
      <c r="AM308" s="84"/>
      <c r="AN308" s="84"/>
      <c r="AO308" s="84"/>
      <c r="AP308" s="84"/>
      <c r="AQ308" s="84"/>
      <c r="AR308" s="84"/>
      <c r="AS308" s="84"/>
      <c r="AT308" s="84"/>
      <c r="AU308" s="84"/>
      <c r="AV308" s="84"/>
      <c r="AY308" s="84"/>
      <c r="AZ308" s="84"/>
      <c r="BA308" s="84"/>
      <c r="BB308" s="84"/>
      <c r="BC308" s="84"/>
      <c r="BD308" s="84"/>
      <c r="BE308" s="84"/>
      <c r="BF308" s="942"/>
      <c r="BG308" s="942"/>
      <c r="BH308" s="942"/>
      <c r="BI308" s="84"/>
      <c r="BL308" s="84"/>
      <c r="BM308" s="84"/>
      <c r="BN308" s="84"/>
      <c r="BO308" s="84"/>
      <c r="BP308" s="84"/>
      <c r="BQ308" s="84"/>
      <c r="BR308" s="84"/>
      <c r="BS308" s="942"/>
      <c r="BT308" s="942"/>
      <c r="BU308" s="942"/>
      <c r="BV308" s="84"/>
    </row>
    <row r="309" spans="14:74" ht="14.25">
      <c r="N309" s="84"/>
      <c r="O309" s="84"/>
      <c r="P309" s="84"/>
      <c r="Q309" s="84"/>
      <c r="R309" s="84"/>
      <c r="S309" s="84"/>
      <c r="T309" s="84"/>
      <c r="U309" s="84"/>
      <c r="V309" s="84"/>
      <c r="W309" s="84"/>
      <c r="Y309" s="84"/>
      <c r="Z309" s="84"/>
      <c r="AA309" s="84"/>
      <c r="AB309" s="84"/>
      <c r="AC309" s="84"/>
      <c r="AD309" s="84"/>
      <c r="AE309" s="84"/>
      <c r="AF309" s="84"/>
      <c r="AG309" s="84"/>
      <c r="AH309" s="84"/>
      <c r="AI309" s="84"/>
      <c r="AL309" s="84"/>
      <c r="AM309" s="84"/>
      <c r="AN309" s="84"/>
      <c r="AO309" s="84"/>
      <c r="AP309" s="84"/>
      <c r="AQ309" s="84"/>
      <c r="AR309" s="84"/>
      <c r="AS309" s="84"/>
      <c r="AT309" s="84"/>
      <c r="AU309" s="84"/>
      <c r="AV309" s="84"/>
      <c r="AY309" s="84"/>
      <c r="AZ309" s="84"/>
      <c r="BA309" s="84"/>
      <c r="BB309" s="84"/>
      <c r="BC309" s="84"/>
      <c r="BD309" s="84"/>
      <c r="BE309" s="84"/>
      <c r="BF309" s="942"/>
      <c r="BG309" s="942"/>
      <c r="BH309" s="942"/>
      <c r="BI309" s="84"/>
      <c r="BL309" s="84"/>
      <c r="BM309" s="84"/>
      <c r="BN309" s="84"/>
      <c r="BO309" s="84"/>
      <c r="BP309" s="84"/>
      <c r="BQ309" s="84"/>
      <c r="BR309" s="84"/>
      <c r="BS309" s="942"/>
      <c r="BT309" s="942"/>
      <c r="BU309" s="942"/>
      <c r="BV309" s="84"/>
    </row>
    <row r="310" spans="14:74" ht="14.25">
      <c r="N310" s="84"/>
      <c r="O310" s="84"/>
      <c r="P310" s="84"/>
      <c r="Q310" s="84"/>
      <c r="R310" s="84"/>
      <c r="S310" s="84"/>
      <c r="T310" s="84"/>
      <c r="U310" s="84"/>
      <c r="V310" s="84"/>
      <c r="W310" s="84"/>
      <c r="Y310" s="84"/>
      <c r="Z310" s="84"/>
      <c r="AA310" s="84"/>
      <c r="AB310" s="84"/>
      <c r="AC310" s="84"/>
      <c r="AD310" s="84"/>
      <c r="AE310" s="84"/>
      <c r="AF310" s="84"/>
      <c r="AG310" s="84"/>
      <c r="AH310" s="84"/>
      <c r="AI310" s="84"/>
      <c r="AL310" s="84"/>
      <c r="AM310" s="84"/>
      <c r="AN310" s="84"/>
      <c r="AO310" s="84"/>
      <c r="AP310" s="84"/>
      <c r="AQ310" s="84"/>
      <c r="AR310" s="84"/>
      <c r="AS310" s="84"/>
      <c r="AT310" s="84"/>
      <c r="AU310" s="84"/>
      <c r="AV310" s="84"/>
      <c r="AY310" s="84"/>
      <c r="AZ310" s="84"/>
      <c r="BA310" s="84"/>
      <c r="BB310" s="84"/>
      <c r="BC310" s="84"/>
      <c r="BD310" s="84"/>
      <c r="BE310" s="84"/>
      <c r="BF310" s="942"/>
      <c r="BG310" s="942"/>
      <c r="BH310" s="942"/>
      <c r="BI310" s="84"/>
      <c r="BL310" s="84"/>
      <c r="BM310" s="84"/>
      <c r="BN310" s="84"/>
      <c r="BO310" s="84"/>
      <c r="BP310" s="84"/>
      <c r="BQ310" s="84"/>
      <c r="BR310" s="84"/>
      <c r="BS310" s="942"/>
      <c r="BT310" s="942"/>
      <c r="BU310" s="942"/>
      <c r="BV310" s="84"/>
    </row>
    <row r="311" spans="14:74" ht="14.25">
      <c r="N311" s="84"/>
      <c r="O311" s="84"/>
      <c r="P311" s="84"/>
      <c r="Q311" s="84"/>
      <c r="R311" s="84"/>
      <c r="S311" s="84"/>
      <c r="T311" s="84"/>
      <c r="U311" s="84"/>
      <c r="V311" s="84"/>
      <c r="W311" s="84"/>
      <c r="Y311" s="84"/>
      <c r="Z311" s="84"/>
      <c r="AA311" s="84"/>
      <c r="AB311" s="84"/>
      <c r="AC311" s="84"/>
      <c r="AD311" s="84"/>
      <c r="AE311" s="84"/>
      <c r="AF311" s="84"/>
      <c r="AG311" s="84"/>
      <c r="AH311" s="84"/>
      <c r="AI311" s="84"/>
      <c r="AL311" s="84"/>
      <c r="AM311" s="84"/>
      <c r="AN311" s="84"/>
      <c r="AO311" s="84"/>
      <c r="AP311" s="84"/>
      <c r="AQ311" s="84"/>
      <c r="AR311" s="84"/>
      <c r="AS311" s="84"/>
      <c r="AT311" s="84"/>
      <c r="AU311" s="84"/>
      <c r="AV311" s="84"/>
      <c r="AY311" s="84"/>
      <c r="AZ311" s="84"/>
      <c r="BA311" s="84"/>
      <c r="BB311" s="84"/>
      <c r="BC311" s="84"/>
      <c r="BD311" s="84"/>
      <c r="BE311" s="84"/>
      <c r="BF311" s="942"/>
      <c r="BG311" s="942"/>
      <c r="BH311" s="942"/>
      <c r="BI311" s="84"/>
      <c r="BL311" s="84"/>
      <c r="BM311" s="84"/>
      <c r="BN311" s="84"/>
      <c r="BO311" s="84"/>
      <c r="BP311" s="84"/>
      <c r="BQ311" s="84"/>
      <c r="BR311" s="84"/>
      <c r="BS311" s="942"/>
      <c r="BT311" s="942"/>
      <c r="BU311" s="942"/>
      <c r="BV311" s="84"/>
    </row>
    <row r="312" spans="14:74" ht="14.25">
      <c r="N312" s="84"/>
      <c r="O312" s="84"/>
      <c r="P312" s="84"/>
      <c r="Q312" s="84"/>
      <c r="R312" s="84"/>
      <c r="S312" s="84"/>
      <c r="T312" s="84"/>
      <c r="U312" s="84"/>
      <c r="V312" s="84"/>
      <c r="W312" s="84"/>
      <c r="Y312" s="84"/>
      <c r="Z312" s="84"/>
      <c r="AA312" s="84"/>
      <c r="AB312" s="84"/>
      <c r="AC312" s="84"/>
      <c r="AD312" s="84"/>
      <c r="AE312" s="84"/>
      <c r="AF312" s="84"/>
      <c r="AG312" s="84"/>
      <c r="AH312" s="84"/>
      <c r="AI312" s="84"/>
      <c r="AL312" s="84"/>
      <c r="AM312" s="84"/>
      <c r="AN312" s="84"/>
      <c r="AO312" s="84"/>
      <c r="AP312" s="84"/>
      <c r="AQ312" s="84"/>
      <c r="AR312" s="84"/>
      <c r="AS312" s="84"/>
      <c r="AT312" s="84"/>
      <c r="AU312" s="84"/>
      <c r="AV312" s="84"/>
      <c r="AY312" s="84"/>
      <c r="AZ312" s="84"/>
      <c r="BA312" s="84"/>
      <c r="BB312" s="84"/>
      <c r="BC312" s="84"/>
      <c r="BD312" s="84"/>
      <c r="BE312" s="84"/>
      <c r="BF312" s="942"/>
      <c r="BG312" s="942"/>
      <c r="BH312" s="942"/>
      <c r="BI312" s="84"/>
      <c r="BL312" s="84"/>
      <c r="BM312" s="84"/>
      <c r="BN312" s="84"/>
      <c r="BO312" s="84"/>
      <c r="BP312" s="84"/>
      <c r="BQ312" s="84"/>
      <c r="BR312" s="84"/>
      <c r="BS312" s="942"/>
      <c r="BT312" s="942"/>
      <c r="BU312" s="942"/>
      <c r="BV312" s="84"/>
    </row>
    <row r="313" spans="14:74" ht="14.25">
      <c r="N313" s="84"/>
      <c r="O313" s="84"/>
      <c r="P313" s="84"/>
      <c r="Q313" s="84"/>
      <c r="R313" s="84"/>
      <c r="S313" s="84"/>
      <c r="T313" s="84"/>
      <c r="U313" s="84"/>
      <c r="V313" s="84"/>
      <c r="W313" s="84"/>
      <c r="Y313" s="84"/>
      <c r="Z313" s="84"/>
      <c r="AA313" s="84"/>
      <c r="AB313" s="84"/>
      <c r="AC313" s="84"/>
      <c r="AD313" s="84"/>
      <c r="AE313" s="84"/>
      <c r="AF313" s="84"/>
      <c r="AG313" s="84"/>
      <c r="AH313" s="84"/>
      <c r="AI313" s="84"/>
      <c r="AL313" s="84"/>
      <c r="AM313" s="84"/>
      <c r="AN313" s="84"/>
      <c r="AO313" s="84"/>
      <c r="AP313" s="84"/>
      <c r="AQ313" s="84"/>
      <c r="AR313" s="84"/>
      <c r="AS313" s="84"/>
      <c r="AT313" s="84"/>
      <c r="AU313" s="84"/>
      <c r="AV313" s="84"/>
      <c r="AY313" s="84"/>
      <c r="AZ313" s="84"/>
      <c r="BA313" s="84"/>
      <c r="BB313" s="84"/>
      <c r="BC313" s="84"/>
      <c r="BD313" s="84"/>
      <c r="BE313" s="84"/>
      <c r="BF313" s="942"/>
      <c r="BG313" s="942"/>
      <c r="BH313" s="942"/>
      <c r="BI313" s="84"/>
      <c r="BL313" s="84"/>
      <c r="BM313" s="84"/>
      <c r="BN313" s="84"/>
      <c r="BO313" s="84"/>
      <c r="BP313" s="84"/>
      <c r="BQ313" s="84"/>
      <c r="BR313" s="84"/>
      <c r="BS313" s="942"/>
      <c r="BT313" s="942"/>
      <c r="BU313" s="942"/>
      <c r="BV313" s="84"/>
    </row>
    <row r="314" spans="14:74" ht="14.25">
      <c r="N314" s="84"/>
      <c r="O314" s="84"/>
      <c r="P314" s="84"/>
      <c r="Q314" s="84"/>
      <c r="R314" s="84"/>
      <c r="S314" s="84"/>
      <c r="T314" s="84"/>
      <c r="U314" s="84"/>
      <c r="V314" s="84"/>
      <c r="W314" s="84"/>
      <c r="Y314" s="84"/>
      <c r="Z314" s="84"/>
      <c r="AA314" s="84"/>
      <c r="AB314" s="84"/>
      <c r="AC314" s="84"/>
      <c r="AD314" s="84"/>
      <c r="AE314" s="84"/>
      <c r="AF314" s="84"/>
      <c r="AG314" s="84"/>
      <c r="AH314" s="84"/>
      <c r="AI314" s="84"/>
      <c r="AL314" s="84"/>
      <c r="AM314" s="84"/>
      <c r="AN314" s="84"/>
      <c r="AO314" s="84"/>
      <c r="AP314" s="84"/>
      <c r="AQ314" s="84"/>
      <c r="AR314" s="84"/>
      <c r="AS314" s="84"/>
      <c r="AT314" s="84"/>
      <c r="AU314" s="84"/>
      <c r="AV314" s="84"/>
      <c r="AY314" s="84"/>
      <c r="AZ314" s="84"/>
      <c r="BA314" s="84"/>
      <c r="BB314" s="84"/>
      <c r="BC314" s="84"/>
      <c r="BD314" s="84"/>
      <c r="BE314" s="84"/>
      <c r="BF314" s="942"/>
      <c r="BG314" s="942"/>
      <c r="BH314" s="942"/>
      <c r="BI314" s="84"/>
      <c r="BL314" s="84"/>
      <c r="BM314" s="84"/>
      <c r="BN314" s="84"/>
      <c r="BO314" s="84"/>
      <c r="BP314" s="84"/>
      <c r="BQ314" s="84"/>
      <c r="BR314" s="84"/>
      <c r="BS314" s="942"/>
      <c r="BT314" s="942"/>
      <c r="BU314" s="942"/>
      <c r="BV314" s="84"/>
    </row>
    <row r="315" spans="14:74" ht="14.25">
      <c r="N315" s="84"/>
      <c r="O315" s="84"/>
      <c r="P315" s="84"/>
      <c r="Q315" s="84"/>
      <c r="R315" s="84"/>
      <c r="S315" s="84"/>
      <c r="T315" s="84"/>
      <c r="U315" s="84"/>
      <c r="V315" s="84"/>
      <c r="W315" s="84"/>
      <c r="Y315" s="84"/>
      <c r="Z315" s="84"/>
      <c r="AA315" s="84"/>
      <c r="AB315" s="84"/>
      <c r="AC315" s="84"/>
      <c r="AD315" s="84"/>
      <c r="AE315" s="84"/>
      <c r="AF315" s="84"/>
      <c r="AG315" s="84"/>
      <c r="AH315" s="84"/>
      <c r="AI315" s="84"/>
      <c r="AL315" s="84"/>
      <c r="AM315" s="84"/>
      <c r="AN315" s="84"/>
      <c r="AO315" s="84"/>
      <c r="AP315" s="84"/>
      <c r="AQ315" s="84"/>
      <c r="AR315" s="84"/>
      <c r="AS315" s="84"/>
      <c r="AT315" s="84"/>
      <c r="AU315" s="84"/>
      <c r="AV315" s="84"/>
      <c r="AY315" s="84"/>
      <c r="AZ315" s="84"/>
      <c r="BA315" s="84"/>
      <c r="BB315" s="84"/>
      <c r="BC315" s="84"/>
      <c r="BD315" s="84"/>
      <c r="BE315" s="84"/>
      <c r="BF315" s="942"/>
      <c r="BG315" s="942"/>
      <c r="BH315" s="942"/>
      <c r="BI315" s="84"/>
      <c r="BL315" s="84"/>
      <c r="BM315" s="84"/>
      <c r="BN315" s="84"/>
      <c r="BO315" s="84"/>
      <c r="BP315" s="84"/>
      <c r="BQ315" s="84"/>
      <c r="BR315" s="84"/>
      <c r="BS315" s="942"/>
      <c r="BT315" s="942"/>
      <c r="BU315" s="942"/>
      <c r="BV315" s="84"/>
    </row>
    <row r="316" spans="14:74" ht="14.25">
      <c r="N316" s="84"/>
      <c r="O316" s="84"/>
      <c r="P316" s="84"/>
      <c r="Q316" s="84"/>
      <c r="R316" s="84"/>
      <c r="S316" s="84"/>
      <c r="T316" s="84"/>
      <c r="U316" s="84"/>
      <c r="V316" s="84"/>
      <c r="W316" s="84"/>
      <c r="Y316" s="84"/>
      <c r="Z316" s="84"/>
      <c r="AA316" s="84"/>
      <c r="AB316" s="84"/>
      <c r="AC316" s="84"/>
      <c r="AD316" s="84"/>
      <c r="AE316" s="84"/>
      <c r="AF316" s="84"/>
      <c r="AG316" s="84"/>
      <c r="AH316" s="84"/>
      <c r="AI316" s="84"/>
      <c r="AL316" s="84"/>
      <c r="AM316" s="84"/>
      <c r="AN316" s="84"/>
      <c r="AO316" s="84"/>
      <c r="AP316" s="84"/>
      <c r="AQ316" s="84"/>
      <c r="AR316" s="84"/>
      <c r="AS316" s="84"/>
      <c r="AT316" s="84"/>
      <c r="AU316" s="84"/>
      <c r="AV316" s="84"/>
      <c r="AY316" s="84"/>
      <c r="AZ316" s="84"/>
      <c r="BA316" s="84"/>
      <c r="BB316" s="84"/>
      <c r="BC316" s="84"/>
      <c r="BD316" s="84"/>
      <c r="BE316" s="84"/>
      <c r="BF316" s="942"/>
      <c r="BG316" s="942"/>
      <c r="BH316" s="942"/>
      <c r="BI316" s="84"/>
      <c r="BL316" s="84"/>
      <c r="BM316" s="84"/>
      <c r="BN316" s="84"/>
      <c r="BO316" s="84"/>
      <c r="BP316" s="84"/>
      <c r="BQ316" s="84"/>
      <c r="BR316" s="84"/>
      <c r="BS316" s="942"/>
      <c r="BT316" s="942"/>
      <c r="BU316" s="942"/>
      <c r="BV316" s="84"/>
    </row>
    <row r="317" spans="14:74" ht="14.25">
      <c r="N317" s="84"/>
      <c r="O317" s="84"/>
      <c r="P317" s="84"/>
      <c r="Q317" s="84"/>
      <c r="R317" s="84"/>
      <c r="S317" s="84"/>
      <c r="T317" s="84"/>
      <c r="U317" s="84"/>
      <c r="V317" s="84"/>
      <c r="W317" s="84"/>
      <c r="Y317" s="84"/>
      <c r="Z317" s="84"/>
      <c r="AA317" s="84"/>
      <c r="AB317" s="84"/>
      <c r="AC317" s="84"/>
      <c r="AD317" s="84"/>
      <c r="AE317" s="84"/>
      <c r="AF317" s="84"/>
      <c r="AG317" s="84"/>
      <c r="AH317" s="84"/>
      <c r="AI317" s="84"/>
      <c r="AL317" s="84"/>
      <c r="AM317" s="84"/>
      <c r="AN317" s="84"/>
      <c r="AO317" s="84"/>
      <c r="AP317" s="84"/>
      <c r="AQ317" s="84"/>
      <c r="AR317" s="84"/>
      <c r="AS317" s="84"/>
      <c r="AT317" s="84"/>
      <c r="AU317" s="84"/>
      <c r="AV317" s="84"/>
      <c r="AY317" s="84"/>
      <c r="AZ317" s="84"/>
      <c r="BA317" s="84"/>
      <c r="BB317" s="84"/>
      <c r="BC317" s="84"/>
      <c r="BD317" s="84"/>
      <c r="BE317" s="84"/>
      <c r="BF317" s="942"/>
      <c r="BG317" s="942"/>
      <c r="BH317" s="942"/>
      <c r="BI317" s="84"/>
      <c r="BL317" s="84"/>
      <c r="BM317" s="84"/>
      <c r="BN317" s="84"/>
      <c r="BO317" s="84"/>
      <c r="BP317" s="84"/>
      <c r="BQ317" s="84"/>
      <c r="BR317" s="84"/>
      <c r="BS317" s="942"/>
      <c r="BT317" s="942"/>
      <c r="BU317" s="942"/>
      <c r="BV317" s="84"/>
    </row>
    <row r="318" spans="14:74" ht="14.25">
      <c r="N318" s="84"/>
      <c r="O318" s="84"/>
      <c r="P318" s="84"/>
      <c r="Q318" s="84"/>
      <c r="R318" s="84"/>
      <c r="S318" s="84"/>
      <c r="T318" s="84"/>
      <c r="U318" s="84"/>
      <c r="V318" s="84"/>
      <c r="W318" s="84"/>
      <c r="Y318" s="84"/>
      <c r="Z318" s="84"/>
      <c r="AA318" s="84"/>
      <c r="AB318" s="84"/>
      <c r="AC318" s="84"/>
      <c r="AD318" s="84"/>
      <c r="AE318" s="84"/>
      <c r="AF318" s="84"/>
      <c r="AG318" s="84"/>
      <c r="AH318" s="84"/>
      <c r="AI318" s="84"/>
      <c r="AL318" s="84"/>
      <c r="AM318" s="84"/>
      <c r="AN318" s="84"/>
      <c r="AO318" s="84"/>
      <c r="AP318" s="84"/>
      <c r="AQ318" s="84"/>
      <c r="AR318" s="84"/>
      <c r="AS318" s="84"/>
      <c r="AT318" s="84"/>
      <c r="AU318" s="84"/>
      <c r="AV318" s="84"/>
      <c r="AY318" s="84"/>
      <c r="AZ318" s="84"/>
      <c r="BA318" s="84"/>
      <c r="BB318" s="84"/>
      <c r="BC318" s="84"/>
      <c r="BD318" s="84"/>
      <c r="BE318" s="84"/>
      <c r="BF318" s="942"/>
      <c r="BG318" s="942"/>
      <c r="BH318" s="942"/>
      <c r="BI318" s="84"/>
      <c r="BL318" s="84"/>
      <c r="BM318" s="84"/>
      <c r="BN318" s="84"/>
      <c r="BO318" s="84"/>
      <c r="BP318" s="84"/>
      <c r="BQ318" s="84"/>
      <c r="BR318" s="84"/>
      <c r="BS318" s="942"/>
      <c r="BT318" s="942"/>
      <c r="BU318" s="942"/>
      <c r="BV318" s="84"/>
    </row>
    <row r="319" spans="14:74" ht="14.25">
      <c r="N319" s="84"/>
      <c r="O319" s="84"/>
      <c r="P319" s="84"/>
      <c r="Q319" s="84"/>
      <c r="R319" s="84"/>
      <c r="S319" s="84"/>
      <c r="T319" s="84"/>
      <c r="U319" s="84"/>
      <c r="V319" s="84"/>
      <c r="W319" s="84"/>
      <c r="Y319" s="84"/>
      <c r="Z319" s="84"/>
      <c r="AA319" s="84"/>
      <c r="AB319" s="84"/>
      <c r="AC319" s="84"/>
      <c r="AD319" s="84"/>
      <c r="AE319" s="84"/>
      <c r="AF319" s="84"/>
      <c r="AG319" s="84"/>
      <c r="AH319" s="84"/>
      <c r="AI319" s="84"/>
      <c r="AL319" s="84"/>
      <c r="AM319" s="84"/>
      <c r="AN319" s="84"/>
      <c r="AO319" s="84"/>
      <c r="AP319" s="84"/>
      <c r="AQ319" s="84"/>
      <c r="AR319" s="84"/>
      <c r="AS319" s="84"/>
      <c r="AT319" s="84"/>
      <c r="AU319" s="84"/>
      <c r="AV319" s="84"/>
      <c r="AY319" s="84"/>
      <c r="AZ319" s="84"/>
      <c r="BA319" s="84"/>
      <c r="BB319" s="84"/>
      <c r="BC319" s="84"/>
      <c r="BD319" s="84"/>
      <c r="BE319" s="84"/>
      <c r="BF319" s="942"/>
      <c r="BG319" s="942"/>
      <c r="BH319" s="942"/>
      <c r="BI319" s="84"/>
      <c r="BL319" s="84"/>
      <c r="BM319" s="84"/>
      <c r="BN319" s="84"/>
      <c r="BO319" s="84"/>
      <c r="BP319" s="84"/>
      <c r="BQ319" s="84"/>
      <c r="BR319" s="84"/>
      <c r="BS319" s="942"/>
      <c r="BT319" s="942"/>
      <c r="BU319" s="942"/>
      <c r="BV319" s="84"/>
    </row>
    <row r="320" spans="14:74" ht="14.25">
      <c r="N320" s="84"/>
      <c r="O320" s="84"/>
      <c r="P320" s="84"/>
      <c r="Q320" s="84"/>
      <c r="R320" s="84"/>
      <c r="S320" s="84"/>
      <c r="T320" s="84"/>
      <c r="U320" s="84"/>
      <c r="V320" s="84"/>
      <c r="W320" s="84"/>
      <c r="Y320" s="84"/>
      <c r="Z320" s="84"/>
      <c r="AA320" s="84"/>
      <c r="AB320" s="84"/>
      <c r="AC320" s="84"/>
      <c r="AD320" s="84"/>
      <c r="AE320" s="84"/>
      <c r="AF320" s="84"/>
      <c r="AG320" s="84"/>
      <c r="AH320" s="84"/>
      <c r="AI320" s="84"/>
      <c r="AL320" s="84"/>
      <c r="AM320" s="84"/>
      <c r="AN320" s="84"/>
      <c r="AO320" s="84"/>
      <c r="AP320" s="84"/>
      <c r="AQ320" s="84"/>
      <c r="AR320" s="84"/>
      <c r="AS320" s="84"/>
      <c r="AT320" s="84"/>
      <c r="AU320" s="84"/>
      <c r="AV320" s="84"/>
      <c r="AY320" s="84"/>
      <c r="AZ320" s="84"/>
      <c r="BA320" s="84"/>
      <c r="BB320" s="84"/>
      <c r="BC320" s="84"/>
      <c r="BD320" s="84"/>
      <c r="BE320" s="84"/>
      <c r="BF320" s="942"/>
      <c r="BG320" s="942"/>
      <c r="BH320" s="942"/>
      <c r="BI320" s="84"/>
      <c r="BL320" s="84"/>
      <c r="BM320" s="84"/>
      <c r="BN320" s="84"/>
      <c r="BO320" s="84"/>
      <c r="BP320" s="84"/>
      <c r="BQ320" s="84"/>
      <c r="BR320" s="84"/>
      <c r="BS320" s="942"/>
      <c r="BT320" s="942"/>
      <c r="BU320" s="942"/>
      <c r="BV320" s="84"/>
    </row>
    <row r="321" spans="14:74" ht="14.25">
      <c r="N321" s="84"/>
      <c r="O321" s="84"/>
      <c r="P321" s="84"/>
      <c r="Q321" s="84"/>
      <c r="R321" s="84"/>
      <c r="S321" s="84"/>
      <c r="T321" s="84"/>
      <c r="U321" s="84"/>
      <c r="V321" s="84"/>
      <c r="W321" s="84"/>
      <c r="Y321" s="84"/>
      <c r="Z321" s="84"/>
      <c r="AA321" s="84"/>
      <c r="AB321" s="84"/>
      <c r="AC321" s="84"/>
      <c r="AD321" s="84"/>
      <c r="AE321" s="84"/>
      <c r="AF321" s="84"/>
      <c r="AG321" s="84"/>
      <c r="AH321" s="84"/>
      <c r="AI321" s="84"/>
      <c r="AL321" s="84"/>
      <c r="AM321" s="84"/>
      <c r="AN321" s="84"/>
      <c r="AO321" s="84"/>
      <c r="AP321" s="84"/>
      <c r="AQ321" s="84"/>
      <c r="AR321" s="84"/>
      <c r="AS321" s="84"/>
      <c r="AT321" s="84"/>
      <c r="AU321" s="84"/>
      <c r="AV321" s="84"/>
      <c r="AY321" s="84"/>
      <c r="AZ321" s="84"/>
      <c r="BA321" s="84"/>
      <c r="BB321" s="84"/>
      <c r="BC321" s="84"/>
      <c r="BD321" s="84"/>
      <c r="BE321" s="84"/>
      <c r="BF321" s="942"/>
      <c r="BG321" s="942"/>
      <c r="BH321" s="942"/>
      <c r="BI321" s="84"/>
      <c r="BL321" s="84"/>
      <c r="BM321" s="84"/>
      <c r="BN321" s="84"/>
      <c r="BO321" s="84"/>
      <c r="BP321" s="84"/>
      <c r="BQ321" s="84"/>
      <c r="BR321" s="84"/>
      <c r="BS321" s="942"/>
      <c r="BT321" s="942"/>
      <c r="BU321" s="942"/>
      <c r="BV321" s="84"/>
    </row>
    <row r="322" spans="14:74" ht="14.25">
      <c r="N322" s="84"/>
      <c r="O322" s="84"/>
      <c r="P322" s="84"/>
      <c r="Q322" s="84"/>
      <c r="R322" s="84"/>
      <c r="S322" s="84"/>
      <c r="T322" s="84"/>
      <c r="U322" s="84"/>
      <c r="V322" s="84"/>
      <c r="W322" s="84"/>
      <c r="Y322" s="84"/>
      <c r="Z322" s="84"/>
      <c r="AA322" s="84"/>
      <c r="AB322" s="84"/>
      <c r="AC322" s="84"/>
      <c r="AD322" s="84"/>
      <c r="AE322" s="84"/>
      <c r="AF322" s="84"/>
      <c r="AG322" s="84"/>
      <c r="AH322" s="84"/>
      <c r="AI322" s="84"/>
      <c r="AL322" s="84"/>
      <c r="AM322" s="84"/>
      <c r="AN322" s="84"/>
      <c r="AO322" s="84"/>
      <c r="AP322" s="84"/>
      <c r="AQ322" s="84"/>
      <c r="AR322" s="84"/>
      <c r="AS322" s="84"/>
      <c r="AT322" s="84"/>
      <c r="AU322" s="84"/>
      <c r="AV322" s="84"/>
      <c r="AY322" s="84"/>
      <c r="AZ322" s="84"/>
      <c r="BA322" s="84"/>
      <c r="BB322" s="84"/>
      <c r="BC322" s="84"/>
      <c r="BD322" s="84"/>
      <c r="BE322" s="84"/>
      <c r="BF322" s="942"/>
      <c r="BG322" s="942"/>
      <c r="BH322" s="942"/>
      <c r="BI322" s="84"/>
      <c r="BL322" s="84"/>
      <c r="BM322" s="84"/>
      <c r="BN322" s="84"/>
      <c r="BO322" s="84"/>
      <c r="BP322" s="84"/>
      <c r="BQ322" s="84"/>
      <c r="BR322" s="84"/>
      <c r="BS322" s="942"/>
      <c r="BT322" s="942"/>
      <c r="BU322" s="942"/>
      <c r="BV322" s="84"/>
    </row>
    <row r="323" spans="14:74" ht="14.25">
      <c r="N323" s="84"/>
      <c r="O323" s="84"/>
      <c r="P323" s="84"/>
      <c r="Q323" s="84"/>
      <c r="R323" s="84"/>
      <c r="S323" s="84"/>
      <c r="T323" s="84"/>
      <c r="U323" s="84"/>
      <c r="V323" s="84"/>
      <c r="W323" s="84"/>
      <c r="Y323" s="84"/>
      <c r="Z323" s="84"/>
      <c r="AA323" s="84"/>
      <c r="AB323" s="84"/>
      <c r="AC323" s="84"/>
      <c r="AD323" s="84"/>
      <c r="AE323" s="84"/>
      <c r="AF323" s="84"/>
      <c r="AG323" s="84"/>
      <c r="AH323" s="84"/>
      <c r="AI323" s="84"/>
      <c r="AL323" s="84"/>
      <c r="AM323" s="84"/>
      <c r="AN323" s="84"/>
      <c r="AO323" s="84"/>
      <c r="AP323" s="84"/>
      <c r="AQ323" s="84"/>
      <c r="AR323" s="84"/>
      <c r="AS323" s="84"/>
      <c r="AT323" s="84"/>
      <c r="AU323" s="84"/>
      <c r="AV323" s="84"/>
      <c r="AY323" s="84"/>
      <c r="AZ323" s="84"/>
      <c r="BA323" s="84"/>
      <c r="BB323" s="84"/>
      <c r="BC323" s="84"/>
      <c r="BD323" s="84"/>
      <c r="BE323" s="84"/>
      <c r="BF323" s="942"/>
      <c r="BG323" s="942"/>
      <c r="BH323" s="942"/>
      <c r="BI323" s="84"/>
      <c r="BL323" s="84"/>
      <c r="BM323" s="84"/>
      <c r="BN323" s="84"/>
      <c r="BO323" s="84"/>
      <c r="BP323" s="84"/>
      <c r="BQ323" s="84"/>
      <c r="BR323" s="84"/>
      <c r="BS323" s="942"/>
      <c r="BT323" s="942"/>
      <c r="BU323" s="942"/>
      <c r="BV323" s="84"/>
    </row>
    <row r="324" spans="14:74" ht="14.25">
      <c r="N324" s="84"/>
      <c r="O324" s="84"/>
      <c r="P324" s="84"/>
      <c r="Q324" s="84"/>
      <c r="R324" s="84"/>
      <c r="S324" s="84"/>
      <c r="T324" s="84"/>
      <c r="U324" s="84"/>
      <c r="V324" s="84"/>
      <c r="W324" s="84"/>
      <c r="Y324" s="84"/>
      <c r="Z324" s="84"/>
      <c r="AA324" s="84"/>
      <c r="AB324" s="84"/>
      <c r="AC324" s="84"/>
      <c r="AD324" s="84"/>
      <c r="AE324" s="84"/>
      <c r="AF324" s="84"/>
      <c r="AG324" s="84"/>
      <c r="AH324" s="84"/>
      <c r="AI324" s="84"/>
      <c r="AL324" s="84"/>
      <c r="AM324" s="84"/>
      <c r="AN324" s="84"/>
      <c r="AO324" s="84"/>
      <c r="AP324" s="84"/>
      <c r="AQ324" s="84"/>
      <c r="AR324" s="84"/>
      <c r="AS324" s="84"/>
      <c r="AT324" s="84"/>
      <c r="AU324" s="84"/>
      <c r="AV324" s="84"/>
      <c r="AY324" s="84"/>
      <c r="AZ324" s="84"/>
      <c r="BA324" s="84"/>
      <c r="BB324" s="84"/>
      <c r="BC324" s="84"/>
      <c r="BD324" s="84"/>
      <c r="BE324" s="84"/>
      <c r="BF324" s="942"/>
      <c r="BG324" s="942"/>
      <c r="BH324" s="942"/>
      <c r="BI324" s="84"/>
      <c r="BL324" s="84"/>
      <c r="BM324" s="84"/>
      <c r="BN324" s="84"/>
      <c r="BO324" s="84"/>
      <c r="BP324" s="84"/>
      <c r="BQ324" s="84"/>
      <c r="BR324" s="84"/>
      <c r="BS324" s="942"/>
      <c r="BT324" s="942"/>
      <c r="BU324" s="942"/>
      <c r="BV324" s="84"/>
    </row>
    <row r="325" spans="14:74" ht="14.25">
      <c r="N325" s="84"/>
      <c r="O325" s="84"/>
      <c r="P325" s="84"/>
      <c r="Q325" s="84"/>
      <c r="R325" s="84"/>
      <c r="S325" s="84"/>
      <c r="T325" s="84"/>
      <c r="U325" s="84"/>
      <c r="V325" s="84"/>
      <c r="W325" s="84"/>
      <c r="Y325" s="84"/>
      <c r="Z325" s="84"/>
      <c r="AA325" s="84"/>
      <c r="AB325" s="84"/>
      <c r="AC325" s="84"/>
      <c r="AD325" s="84"/>
      <c r="AE325" s="84"/>
      <c r="AF325" s="84"/>
      <c r="AG325" s="84"/>
      <c r="AH325" s="84"/>
      <c r="AI325" s="84"/>
      <c r="AL325" s="84"/>
      <c r="AM325" s="84"/>
      <c r="AN325" s="84"/>
      <c r="AO325" s="84"/>
      <c r="AP325" s="84"/>
      <c r="AQ325" s="84"/>
      <c r="AR325" s="84"/>
      <c r="AS325" s="84"/>
      <c r="AT325" s="84"/>
      <c r="AU325" s="84"/>
      <c r="AV325" s="84"/>
      <c r="AY325" s="84"/>
      <c r="AZ325" s="84"/>
      <c r="BA325" s="84"/>
      <c r="BB325" s="84"/>
      <c r="BC325" s="84"/>
      <c r="BD325" s="84"/>
      <c r="BE325" s="84"/>
      <c r="BF325" s="942"/>
      <c r="BG325" s="942"/>
      <c r="BH325" s="942"/>
      <c r="BI325" s="84"/>
      <c r="BL325" s="84"/>
      <c r="BM325" s="84"/>
      <c r="BN325" s="84"/>
      <c r="BO325" s="84"/>
      <c r="BP325" s="84"/>
      <c r="BQ325" s="84"/>
      <c r="BR325" s="84"/>
      <c r="BS325" s="942"/>
      <c r="BT325" s="942"/>
      <c r="BU325" s="942"/>
      <c r="BV325" s="84"/>
    </row>
    <row r="326" spans="14:74" ht="14.25">
      <c r="N326" s="84"/>
      <c r="O326" s="84"/>
      <c r="P326" s="84"/>
      <c r="Q326" s="84"/>
      <c r="R326" s="84"/>
      <c r="S326" s="84"/>
      <c r="T326" s="84"/>
      <c r="U326" s="84"/>
      <c r="V326" s="84"/>
      <c r="W326" s="84"/>
      <c r="Y326" s="84"/>
      <c r="Z326" s="84"/>
      <c r="AA326" s="84"/>
      <c r="AB326" s="84"/>
      <c r="AC326" s="84"/>
      <c r="AD326" s="84"/>
      <c r="AE326" s="84"/>
      <c r="AF326" s="84"/>
      <c r="AG326" s="84"/>
      <c r="AH326" s="84"/>
      <c r="AI326" s="84"/>
      <c r="AL326" s="84"/>
      <c r="AM326" s="84"/>
      <c r="AN326" s="84"/>
      <c r="AO326" s="84"/>
      <c r="AP326" s="84"/>
      <c r="AQ326" s="84"/>
      <c r="AR326" s="84"/>
      <c r="AS326" s="84"/>
      <c r="AT326" s="84"/>
      <c r="AU326" s="84"/>
      <c r="AV326" s="84"/>
      <c r="AY326" s="84"/>
      <c r="AZ326" s="84"/>
      <c r="BA326" s="84"/>
      <c r="BB326" s="84"/>
      <c r="BC326" s="84"/>
      <c r="BD326" s="84"/>
      <c r="BE326" s="84"/>
      <c r="BF326" s="942"/>
      <c r="BG326" s="942"/>
      <c r="BH326" s="942"/>
      <c r="BI326" s="84"/>
      <c r="BL326" s="84"/>
      <c r="BM326" s="84"/>
      <c r="BN326" s="84"/>
      <c r="BO326" s="84"/>
      <c r="BP326" s="84"/>
      <c r="BQ326" s="84"/>
      <c r="BR326" s="84"/>
      <c r="BS326" s="942"/>
      <c r="BT326" s="942"/>
      <c r="BU326" s="942"/>
      <c r="BV326" s="84"/>
    </row>
    <row r="327" spans="14:74" ht="14.25">
      <c r="N327" s="84"/>
      <c r="O327" s="84"/>
      <c r="P327" s="84"/>
      <c r="Q327" s="84"/>
      <c r="R327" s="84"/>
      <c r="S327" s="84"/>
      <c r="T327" s="84"/>
      <c r="U327" s="84"/>
      <c r="V327" s="84"/>
      <c r="W327" s="84"/>
      <c r="Y327" s="84"/>
      <c r="Z327" s="84"/>
      <c r="AA327" s="84"/>
      <c r="AB327" s="84"/>
      <c r="AC327" s="84"/>
      <c r="AD327" s="84"/>
      <c r="AE327" s="84"/>
      <c r="AF327" s="84"/>
      <c r="AG327" s="84"/>
      <c r="AH327" s="84"/>
      <c r="AI327" s="84"/>
      <c r="AL327" s="84"/>
      <c r="AM327" s="84"/>
      <c r="AN327" s="84"/>
      <c r="AO327" s="84"/>
      <c r="AP327" s="84"/>
      <c r="AQ327" s="84"/>
      <c r="AR327" s="84"/>
      <c r="AS327" s="84"/>
      <c r="AT327" s="84"/>
      <c r="AU327" s="84"/>
      <c r="AV327" s="84"/>
      <c r="AY327" s="84"/>
      <c r="AZ327" s="84"/>
      <c r="BA327" s="84"/>
      <c r="BB327" s="84"/>
      <c r="BC327" s="84"/>
      <c r="BD327" s="84"/>
      <c r="BE327" s="84"/>
      <c r="BF327" s="942"/>
      <c r="BG327" s="942"/>
      <c r="BH327" s="942"/>
      <c r="BI327" s="84"/>
      <c r="BL327" s="84"/>
      <c r="BM327" s="84"/>
      <c r="BN327" s="84"/>
      <c r="BO327" s="84"/>
      <c r="BP327" s="84"/>
      <c r="BQ327" s="84"/>
      <c r="BR327" s="84"/>
      <c r="BS327" s="942"/>
      <c r="BT327" s="942"/>
      <c r="BU327" s="942"/>
      <c r="BV327" s="84"/>
    </row>
    <row r="328" spans="14:74" ht="14.25">
      <c r="N328" s="84"/>
      <c r="O328" s="84"/>
      <c r="P328" s="84"/>
      <c r="Q328" s="84"/>
      <c r="R328" s="84"/>
      <c r="S328" s="84"/>
      <c r="T328" s="84"/>
      <c r="U328" s="84"/>
      <c r="V328" s="84"/>
      <c r="W328" s="84"/>
      <c r="Y328" s="84"/>
      <c r="Z328" s="84"/>
      <c r="AA328" s="84"/>
      <c r="AB328" s="84"/>
      <c r="AC328" s="84"/>
      <c r="AD328" s="84"/>
      <c r="AE328" s="84"/>
      <c r="AF328" s="84"/>
      <c r="AG328" s="84"/>
      <c r="AH328" s="84"/>
      <c r="AI328" s="84"/>
      <c r="AL328" s="84"/>
      <c r="AM328" s="84"/>
      <c r="AN328" s="84"/>
      <c r="AO328" s="84"/>
      <c r="AP328" s="84"/>
      <c r="AQ328" s="84"/>
      <c r="AR328" s="84"/>
      <c r="AS328" s="84"/>
      <c r="AT328" s="84"/>
      <c r="AU328" s="84"/>
      <c r="AV328" s="84"/>
      <c r="AY328" s="84"/>
      <c r="AZ328" s="84"/>
      <c r="BA328" s="84"/>
      <c r="BB328" s="84"/>
      <c r="BC328" s="84"/>
      <c r="BD328" s="84"/>
      <c r="BE328" s="84"/>
      <c r="BF328" s="942"/>
      <c r="BG328" s="942"/>
      <c r="BH328" s="942"/>
      <c r="BI328" s="84"/>
      <c r="BL328" s="84"/>
      <c r="BM328" s="84"/>
      <c r="BN328" s="84"/>
      <c r="BO328" s="84"/>
      <c r="BP328" s="84"/>
      <c r="BQ328" s="84"/>
      <c r="BR328" s="84"/>
      <c r="BS328" s="942"/>
      <c r="BT328" s="942"/>
      <c r="BU328" s="942"/>
      <c r="BV328" s="84"/>
    </row>
    <row r="329" spans="14:74" ht="14.25">
      <c r="N329" s="84"/>
      <c r="O329" s="84"/>
      <c r="P329" s="84"/>
      <c r="Q329" s="84"/>
      <c r="R329" s="84"/>
      <c r="S329" s="84"/>
      <c r="T329" s="84"/>
      <c r="U329" s="84"/>
      <c r="V329" s="84"/>
      <c r="W329" s="84"/>
      <c r="Y329" s="84"/>
      <c r="Z329" s="84"/>
      <c r="AA329" s="84"/>
      <c r="AB329" s="84"/>
      <c r="AC329" s="84"/>
      <c r="AD329" s="84"/>
      <c r="AE329" s="84"/>
      <c r="AF329" s="84"/>
      <c r="AG329" s="84"/>
      <c r="AH329" s="84"/>
      <c r="AI329" s="84"/>
      <c r="AL329" s="84"/>
      <c r="AM329" s="84"/>
      <c r="AN329" s="84"/>
      <c r="AO329" s="84"/>
      <c r="AP329" s="84"/>
      <c r="AQ329" s="84"/>
      <c r="AR329" s="84"/>
      <c r="AS329" s="84"/>
      <c r="AT329" s="84"/>
      <c r="AU329" s="84"/>
      <c r="AV329" s="84"/>
      <c r="AY329" s="84"/>
      <c r="AZ329" s="84"/>
      <c r="BA329" s="84"/>
      <c r="BB329" s="84"/>
      <c r="BC329" s="84"/>
      <c r="BD329" s="84"/>
      <c r="BE329" s="84"/>
      <c r="BF329" s="942"/>
      <c r="BG329" s="942"/>
      <c r="BH329" s="942"/>
      <c r="BI329" s="84"/>
      <c r="BL329" s="84"/>
      <c r="BM329" s="84"/>
      <c r="BN329" s="84"/>
      <c r="BO329" s="84"/>
      <c r="BP329" s="84"/>
      <c r="BQ329" s="84"/>
      <c r="BR329" s="84"/>
      <c r="BS329" s="942"/>
      <c r="BT329" s="942"/>
      <c r="BU329" s="942"/>
      <c r="BV329" s="84"/>
    </row>
    <row r="330" spans="14:74" ht="14.25">
      <c r="N330" s="84"/>
      <c r="O330" s="84"/>
      <c r="P330" s="84"/>
      <c r="Q330" s="84"/>
      <c r="R330" s="84"/>
      <c r="S330" s="84"/>
      <c r="T330" s="84"/>
      <c r="U330" s="84"/>
      <c r="V330" s="84"/>
      <c r="W330" s="84"/>
      <c r="Y330" s="84"/>
      <c r="Z330" s="84"/>
      <c r="AA330" s="84"/>
      <c r="AB330" s="84"/>
      <c r="AC330" s="84"/>
      <c r="AD330" s="84"/>
      <c r="AE330" s="84"/>
      <c r="AF330" s="84"/>
      <c r="AG330" s="84"/>
      <c r="AH330" s="84"/>
      <c r="AI330" s="84"/>
      <c r="AL330" s="84"/>
      <c r="AM330" s="84"/>
      <c r="AN330" s="84"/>
      <c r="AO330" s="84"/>
      <c r="AP330" s="84"/>
      <c r="AQ330" s="84"/>
      <c r="AR330" s="84"/>
      <c r="AS330" s="84"/>
      <c r="AT330" s="84"/>
      <c r="AU330" s="84"/>
      <c r="AV330" s="84"/>
      <c r="AY330" s="84"/>
      <c r="AZ330" s="84"/>
      <c r="BA330" s="84"/>
      <c r="BB330" s="84"/>
      <c r="BC330" s="84"/>
      <c r="BD330" s="84"/>
      <c r="BE330" s="84"/>
      <c r="BF330" s="942"/>
      <c r="BG330" s="942"/>
      <c r="BH330" s="942"/>
      <c r="BI330" s="84"/>
      <c r="BL330" s="84"/>
      <c r="BM330" s="84"/>
      <c r="BN330" s="84"/>
      <c r="BO330" s="84"/>
      <c r="BP330" s="84"/>
      <c r="BQ330" s="84"/>
      <c r="BR330" s="84"/>
      <c r="BS330" s="942"/>
      <c r="BT330" s="942"/>
      <c r="BU330" s="942"/>
      <c r="BV330" s="84"/>
    </row>
    <row r="331" spans="14:74" ht="14.25">
      <c r="N331" s="84"/>
      <c r="O331" s="84"/>
      <c r="P331" s="84"/>
      <c r="Q331" s="84"/>
      <c r="R331" s="84"/>
      <c r="S331" s="84"/>
      <c r="T331" s="84"/>
      <c r="U331" s="84"/>
      <c r="V331" s="84"/>
      <c r="W331" s="84"/>
      <c r="Y331" s="84"/>
      <c r="Z331" s="84"/>
      <c r="AA331" s="84"/>
      <c r="AB331" s="84"/>
      <c r="AC331" s="84"/>
      <c r="AD331" s="84"/>
      <c r="AE331" s="84"/>
      <c r="AF331" s="84"/>
      <c r="AG331" s="84"/>
      <c r="AH331" s="84"/>
      <c r="AI331" s="84"/>
      <c r="AL331" s="84"/>
      <c r="AM331" s="84"/>
      <c r="AN331" s="84"/>
      <c r="AO331" s="84"/>
      <c r="AP331" s="84"/>
      <c r="AQ331" s="84"/>
      <c r="AR331" s="84"/>
      <c r="AS331" s="84"/>
      <c r="AT331" s="84"/>
      <c r="AU331" s="84"/>
      <c r="AV331" s="84"/>
      <c r="AY331" s="84"/>
      <c r="AZ331" s="84"/>
      <c r="BA331" s="84"/>
      <c r="BB331" s="84"/>
      <c r="BC331" s="84"/>
      <c r="BD331" s="84"/>
      <c r="BE331" s="84"/>
      <c r="BF331" s="942"/>
      <c r="BG331" s="942"/>
      <c r="BH331" s="942"/>
      <c r="BI331" s="84"/>
      <c r="BL331" s="84"/>
      <c r="BM331" s="84"/>
      <c r="BN331" s="84"/>
      <c r="BO331" s="84"/>
      <c r="BP331" s="84"/>
      <c r="BQ331" s="84"/>
      <c r="BR331" s="84"/>
      <c r="BS331" s="942"/>
      <c r="BT331" s="942"/>
      <c r="BU331" s="942"/>
      <c r="BV331" s="84"/>
    </row>
    <row r="332" spans="14:74" ht="14.25">
      <c r="N332" s="84"/>
      <c r="O332" s="84"/>
      <c r="P332" s="84"/>
      <c r="Q332" s="84"/>
      <c r="R332" s="84"/>
      <c r="S332" s="84"/>
      <c r="T332" s="84"/>
      <c r="U332" s="84"/>
      <c r="V332" s="84"/>
      <c r="W332" s="84"/>
      <c r="Y332" s="84"/>
      <c r="Z332" s="84"/>
      <c r="AA332" s="84"/>
      <c r="AB332" s="84"/>
      <c r="AC332" s="84"/>
      <c r="AD332" s="84"/>
      <c r="AE332" s="84"/>
      <c r="AF332" s="84"/>
      <c r="AG332" s="84"/>
      <c r="AH332" s="84"/>
      <c r="AI332" s="84"/>
      <c r="AL332" s="84"/>
      <c r="AM332" s="84"/>
      <c r="AN332" s="84"/>
      <c r="AO332" s="84"/>
      <c r="AP332" s="84"/>
      <c r="AQ332" s="84"/>
      <c r="AR332" s="84"/>
      <c r="AS332" s="84"/>
      <c r="AT332" s="84"/>
      <c r="AU332" s="84"/>
      <c r="AV332" s="84"/>
      <c r="AY332" s="84"/>
      <c r="AZ332" s="84"/>
      <c r="BA332" s="84"/>
      <c r="BB332" s="84"/>
      <c r="BC332" s="84"/>
      <c r="BD332" s="84"/>
      <c r="BE332" s="84"/>
      <c r="BF332" s="942"/>
      <c r="BG332" s="942"/>
      <c r="BH332" s="942"/>
      <c r="BI332" s="84"/>
      <c r="BL332" s="84"/>
      <c r="BM332" s="84"/>
      <c r="BN332" s="84"/>
      <c r="BO332" s="84"/>
      <c r="BP332" s="84"/>
      <c r="BQ332" s="84"/>
      <c r="BR332" s="84"/>
      <c r="BS332" s="942"/>
      <c r="BT332" s="942"/>
      <c r="BU332" s="942"/>
      <c r="BV332" s="84"/>
    </row>
    <row r="333" spans="14:74" ht="14.25">
      <c r="N333" s="84"/>
      <c r="O333" s="84"/>
      <c r="P333" s="84"/>
      <c r="Q333" s="84"/>
      <c r="R333" s="84"/>
      <c r="S333" s="84"/>
      <c r="T333" s="84"/>
      <c r="U333" s="84"/>
      <c r="V333" s="84"/>
      <c r="W333" s="84"/>
      <c r="Y333" s="84"/>
      <c r="Z333" s="84"/>
      <c r="AA333" s="84"/>
      <c r="AB333" s="84"/>
      <c r="AC333" s="84"/>
      <c r="AD333" s="84"/>
      <c r="AE333" s="84"/>
      <c r="AF333" s="84"/>
      <c r="AG333" s="84"/>
      <c r="AH333" s="84"/>
      <c r="AI333" s="84"/>
      <c r="AL333" s="84"/>
      <c r="AM333" s="84"/>
      <c r="AN333" s="84"/>
      <c r="AO333" s="84"/>
      <c r="AP333" s="84"/>
      <c r="AQ333" s="84"/>
      <c r="AR333" s="84"/>
      <c r="AS333" s="84"/>
      <c r="AT333" s="84"/>
      <c r="AU333" s="84"/>
      <c r="AV333" s="84"/>
      <c r="AY333" s="84"/>
      <c r="AZ333" s="84"/>
      <c r="BA333" s="84"/>
      <c r="BB333" s="84"/>
      <c r="BC333" s="84"/>
      <c r="BD333" s="84"/>
      <c r="BE333" s="84"/>
      <c r="BF333" s="942"/>
      <c r="BG333" s="942"/>
      <c r="BH333" s="942"/>
      <c r="BI333" s="84"/>
      <c r="BL333" s="84"/>
      <c r="BM333" s="84"/>
      <c r="BN333" s="84"/>
      <c r="BO333" s="84"/>
      <c r="BP333" s="84"/>
      <c r="BQ333" s="84"/>
      <c r="BR333" s="84"/>
      <c r="BS333" s="942"/>
      <c r="BT333" s="942"/>
      <c r="BU333" s="942"/>
      <c r="BV333" s="84"/>
    </row>
    <row r="334" spans="14:74" ht="14.25">
      <c r="N334" s="84"/>
      <c r="O334" s="84"/>
      <c r="P334" s="84"/>
      <c r="Q334" s="84"/>
      <c r="R334" s="84"/>
      <c r="S334" s="84"/>
      <c r="T334" s="84"/>
      <c r="U334" s="84"/>
      <c r="V334" s="84"/>
      <c r="W334" s="84"/>
      <c r="Y334" s="84"/>
      <c r="Z334" s="84"/>
      <c r="AA334" s="84"/>
      <c r="AB334" s="84"/>
      <c r="AC334" s="84"/>
      <c r="AD334" s="84"/>
      <c r="AE334" s="84"/>
      <c r="AF334" s="84"/>
      <c r="AG334" s="84"/>
      <c r="AH334" s="84"/>
      <c r="AI334" s="84"/>
      <c r="AL334" s="84"/>
      <c r="AM334" s="84"/>
      <c r="AN334" s="84"/>
      <c r="AO334" s="84"/>
      <c r="AP334" s="84"/>
      <c r="AQ334" s="84"/>
      <c r="AR334" s="84"/>
      <c r="AS334" s="84"/>
      <c r="AT334" s="84"/>
      <c r="AU334" s="84"/>
      <c r="AV334" s="84"/>
      <c r="AY334" s="84"/>
      <c r="AZ334" s="84"/>
      <c r="BA334" s="84"/>
      <c r="BB334" s="84"/>
      <c r="BC334" s="84"/>
      <c r="BD334" s="84"/>
      <c r="BE334" s="84"/>
      <c r="BF334" s="942"/>
      <c r="BG334" s="942"/>
      <c r="BH334" s="942"/>
      <c r="BI334" s="84"/>
      <c r="BL334" s="84"/>
      <c r="BM334" s="84"/>
      <c r="BN334" s="84"/>
      <c r="BO334" s="84"/>
      <c r="BP334" s="84"/>
      <c r="BQ334" s="84"/>
      <c r="BR334" s="84"/>
      <c r="BS334" s="942"/>
      <c r="BT334" s="942"/>
      <c r="BU334" s="942"/>
      <c r="BV334" s="84"/>
    </row>
    <row r="335" spans="14:74" ht="14.25">
      <c r="N335" s="84"/>
      <c r="O335" s="84"/>
      <c r="P335" s="84"/>
      <c r="Q335" s="84"/>
      <c r="R335" s="84"/>
      <c r="S335" s="84"/>
      <c r="T335" s="84"/>
      <c r="U335" s="84"/>
      <c r="V335" s="84"/>
      <c r="W335" s="84"/>
      <c r="Y335" s="84"/>
      <c r="Z335" s="84"/>
      <c r="AA335" s="84"/>
      <c r="AB335" s="84"/>
      <c r="AC335" s="84"/>
      <c r="AD335" s="84"/>
      <c r="AE335" s="84"/>
      <c r="AF335" s="84"/>
      <c r="AG335" s="84"/>
      <c r="AH335" s="84"/>
      <c r="AI335" s="84"/>
      <c r="AL335" s="84"/>
      <c r="AM335" s="84"/>
      <c r="AN335" s="84"/>
      <c r="AO335" s="84"/>
      <c r="AP335" s="84"/>
      <c r="AQ335" s="84"/>
      <c r="AR335" s="84"/>
      <c r="AS335" s="84"/>
      <c r="AT335" s="84"/>
      <c r="AU335" s="84"/>
      <c r="AV335" s="84"/>
      <c r="AY335" s="84"/>
      <c r="AZ335" s="84"/>
      <c r="BA335" s="84"/>
      <c r="BB335" s="84"/>
      <c r="BC335" s="84"/>
      <c r="BD335" s="84"/>
      <c r="BE335" s="84"/>
      <c r="BF335" s="942"/>
      <c r="BG335" s="942"/>
      <c r="BH335" s="942"/>
      <c r="BI335" s="84"/>
      <c r="BL335" s="84"/>
      <c r="BM335" s="84"/>
      <c r="BN335" s="84"/>
      <c r="BO335" s="84"/>
      <c r="BP335" s="84"/>
      <c r="BQ335" s="84"/>
      <c r="BR335" s="84"/>
      <c r="BS335" s="942"/>
      <c r="BT335" s="942"/>
      <c r="BU335" s="942"/>
      <c r="BV335" s="84"/>
    </row>
    <row r="336" spans="14:74" ht="14.25">
      <c r="N336" s="84"/>
      <c r="O336" s="84"/>
      <c r="P336" s="84"/>
      <c r="Q336" s="84"/>
      <c r="R336" s="84"/>
      <c r="S336" s="84"/>
      <c r="T336" s="84"/>
      <c r="U336" s="84"/>
      <c r="V336" s="84"/>
      <c r="W336" s="84"/>
      <c r="Y336" s="84"/>
      <c r="Z336" s="84"/>
      <c r="AA336" s="84"/>
      <c r="AB336" s="84"/>
      <c r="AC336" s="84"/>
      <c r="AD336" s="84"/>
      <c r="AE336" s="84"/>
      <c r="AF336" s="84"/>
      <c r="AG336" s="84"/>
      <c r="AH336" s="84"/>
      <c r="AI336" s="84"/>
      <c r="AL336" s="84"/>
      <c r="AM336" s="84"/>
      <c r="AN336" s="84"/>
      <c r="AO336" s="84"/>
      <c r="AP336" s="84"/>
      <c r="AQ336" s="84"/>
      <c r="AR336" s="84"/>
      <c r="AS336" s="84"/>
      <c r="AT336" s="84"/>
      <c r="AU336" s="84"/>
      <c r="AV336" s="84"/>
      <c r="AY336" s="84"/>
      <c r="AZ336" s="84"/>
      <c r="BA336" s="84"/>
      <c r="BB336" s="84"/>
      <c r="BC336" s="84"/>
      <c r="BD336" s="84"/>
      <c r="BE336" s="84"/>
      <c r="BF336" s="942"/>
      <c r="BG336" s="942"/>
      <c r="BH336" s="942"/>
      <c r="BI336" s="84"/>
      <c r="BL336" s="84"/>
      <c r="BM336" s="84"/>
      <c r="BN336" s="84"/>
      <c r="BO336" s="84"/>
      <c r="BP336" s="84"/>
      <c r="BQ336" s="84"/>
      <c r="BR336" s="84"/>
      <c r="BS336" s="942"/>
      <c r="BT336" s="942"/>
      <c r="BU336" s="942"/>
      <c r="BV336" s="84"/>
    </row>
    <row r="337" spans="14:74" ht="14.25">
      <c r="N337" s="84"/>
      <c r="O337" s="84"/>
      <c r="P337" s="84"/>
      <c r="Q337" s="84"/>
      <c r="R337" s="84"/>
      <c r="S337" s="84"/>
      <c r="T337" s="84"/>
      <c r="U337" s="84"/>
      <c r="V337" s="84"/>
      <c r="W337" s="84"/>
      <c r="Y337" s="84"/>
      <c r="Z337" s="84"/>
      <c r="AA337" s="84"/>
      <c r="AB337" s="84"/>
      <c r="AC337" s="84"/>
      <c r="AD337" s="84"/>
      <c r="AE337" s="84"/>
      <c r="AF337" s="84"/>
      <c r="AG337" s="84"/>
      <c r="AH337" s="84"/>
      <c r="AI337" s="84"/>
      <c r="AL337" s="84"/>
      <c r="AM337" s="84"/>
      <c r="AN337" s="84"/>
      <c r="AO337" s="84"/>
      <c r="AP337" s="84"/>
      <c r="AQ337" s="84"/>
      <c r="AR337" s="84"/>
      <c r="AS337" s="84"/>
      <c r="AT337" s="84"/>
      <c r="AU337" s="84"/>
      <c r="AV337" s="84"/>
      <c r="AY337" s="84"/>
      <c r="AZ337" s="84"/>
      <c r="BA337" s="84"/>
      <c r="BB337" s="84"/>
      <c r="BC337" s="84"/>
      <c r="BD337" s="84"/>
      <c r="BE337" s="84"/>
      <c r="BF337" s="942"/>
      <c r="BG337" s="942"/>
      <c r="BH337" s="942"/>
      <c r="BI337" s="84"/>
      <c r="BL337" s="84"/>
      <c r="BM337" s="84"/>
      <c r="BN337" s="84"/>
      <c r="BO337" s="84"/>
      <c r="BP337" s="84"/>
      <c r="BQ337" s="84"/>
      <c r="BR337" s="84"/>
      <c r="BS337" s="942"/>
      <c r="BT337" s="942"/>
      <c r="BU337" s="942"/>
      <c r="BV337" s="84"/>
    </row>
    <row r="338" spans="14:74" ht="14.25">
      <c r="N338" s="84"/>
      <c r="O338" s="84"/>
      <c r="P338" s="84"/>
      <c r="Q338" s="84"/>
      <c r="R338" s="84"/>
      <c r="S338" s="84"/>
      <c r="T338" s="84"/>
      <c r="U338" s="84"/>
      <c r="V338" s="84"/>
      <c r="W338" s="84"/>
      <c r="Y338" s="84"/>
      <c r="Z338" s="84"/>
      <c r="AA338" s="84"/>
      <c r="AB338" s="84"/>
      <c r="AC338" s="84"/>
      <c r="AD338" s="84"/>
      <c r="AE338" s="84"/>
      <c r="AF338" s="84"/>
      <c r="AG338" s="84"/>
      <c r="AH338" s="84"/>
      <c r="AI338" s="84"/>
      <c r="AL338" s="84"/>
      <c r="AM338" s="84"/>
      <c r="AN338" s="84"/>
      <c r="AO338" s="84"/>
      <c r="AP338" s="84"/>
      <c r="AQ338" s="84"/>
      <c r="AR338" s="84"/>
      <c r="AS338" s="84"/>
      <c r="AT338" s="84"/>
      <c r="AU338" s="84"/>
      <c r="AV338" s="84"/>
      <c r="AY338" s="84"/>
      <c r="AZ338" s="84"/>
      <c r="BA338" s="84"/>
      <c r="BB338" s="84"/>
      <c r="BC338" s="84"/>
      <c r="BD338" s="84"/>
      <c r="BE338" s="84"/>
      <c r="BF338" s="942"/>
      <c r="BG338" s="942"/>
      <c r="BH338" s="942"/>
      <c r="BI338" s="84"/>
      <c r="BL338" s="84"/>
      <c r="BM338" s="84"/>
      <c r="BN338" s="84"/>
      <c r="BO338" s="84"/>
      <c r="BP338" s="84"/>
      <c r="BQ338" s="84"/>
      <c r="BR338" s="84"/>
      <c r="BS338" s="942"/>
      <c r="BT338" s="942"/>
      <c r="BU338" s="942"/>
      <c r="BV338" s="84"/>
    </row>
    <row r="339" spans="14:74" ht="14.25">
      <c r="N339" s="84"/>
      <c r="O339" s="84"/>
      <c r="P339" s="84"/>
      <c r="Q339" s="84"/>
      <c r="R339" s="84"/>
      <c r="S339" s="84"/>
      <c r="T339" s="84"/>
      <c r="U339" s="84"/>
      <c r="V339" s="84"/>
      <c r="W339" s="84"/>
      <c r="Y339" s="84"/>
      <c r="Z339" s="84"/>
      <c r="AA339" s="84"/>
      <c r="AB339" s="84"/>
      <c r="AC339" s="84"/>
      <c r="AD339" s="84"/>
      <c r="AE339" s="84"/>
      <c r="AF339" s="84"/>
      <c r="AG339" s="84"/>
      <c r="AH339" s="84"/>
      <c r="AI339" s="84"/>
      <c r="AL339" s="84"/>
      <c r="AM339" s="84"/>
      <c r="AN339" s="84"/>
      <c r="AO339" s="84"/>
      <c r="AP339" s="84"/>
      <c r="AQ339" s="84"/>
      <c r="AR339" s="84"/>
      <c r="AS339" s="84"/>
      <c r="AT339" s="84"/>
      <c r="AU339" s="84"/>
      <c r="AV339" s="84"/>
      <c r="AY339" s="84"/>
      <c r="AZ339" s="84"/>
      <c r="BA339" s="84"/>
      <c r="BB339" s="84"/>
      <c r="BC339" s="84"/>
      <c r="BD339" s="84"/>
      <c r="BE339" s="84"/>
      <c r="BF339" s="942"/>
      <c r="BG339" s="942"/>
      <c r="BH339" s="942"/>
      <c r="BI339" s="84"/>
      <c r="BL339" s="84"/>
      <c r="BM339" s="84"/>
      <c r="BN339" s="84"/>
      <c r="BO339" s="84"/>
      <c r="BP339" s="84"/>
      <c r="BQ339" s="84"/>
      <c r="BR339" s="84"/>
      <c r="BS339" s="942"/>
      <c r="BT339" s="942"/>
      <c r="BU339" s="942"/>
      <c r="BV339" s="84"/>
    </row>
    <row r="340" spans="14:74" ht="14.25">
      <c r="N340" s="84"/>
      <c r="O340" s="84"/>
      <c r="P340" s="84"/>
      <c r="Q340" s="84"/>
      <c r="R340" s="84"/>
      <c r="S340" s="84"/>
      <c r="T340" s="84"/>
      <c r="U340" s="84"/>
      <c r="V340" s="84"/>
      <c r="W340" s="84"/>
      <c r="Y340" s="84"/>
      <c r="Z340" s="84"/>
      <c r="AA340" s="84"/>
      <c r="AB340" s="84"/>
      <c r="AC340" s="84"/>
      <c r="AD340" s="84"/>
      <c r="AE340" s="84"/>
      <c r="AF340" s="84"/>
      <c r="AG340" s="84"/>
      <c r="AH340" s="84"/>
      <c r="AI340" s="84"/>
      <c r="AL340" s="84"/>
      <c r="AM340" s="84"/>
      <c r="AN340" s="84"/>
      <c r="AO340" s="84"/>
      <c r="AP340" s="84"/>
      <c r="AQ340" s="84"/>
      <c r="AR340" s="84"/>
      <c r="AS340" s="84"/>
      <c r="AT340" s="84"/>
      <c r="AU340" s="84"/>
      <c r="AV340" s="84"/>
      <c r="AY340" s="84"/>
      <c r="AZ340" s="84"/>
      <c r="BA340" s="84"/>
      <c r="BB340" s="84"/>
      <c r="BC340" s="84"/>
      <c r="BD340" s="84"/>
      <c r="BE340" s="84"/>
      <c r="BF340" s="942"/>
      <c r="BG340" s="942"/>
      <c r="BH340" s="942"/>
      <c r="BI340" s="84"/>
      <c r="BL340" s="84"/>
      <c r="BM340" s="84"/>
      <c r="BN340" s="84"/>
      <c r="BO340" s="84"/>
      <c r="BP340" s="84"/>
      <c r="BQ340" s="84"/>
      <c r="BR340" s="84"/>
      <c r="BS340" s="942"/>
      <c r="BT340" s="942"/>
      <c r="BU340" s="942"/>
      <c r="BV340" s="84"/>
    </row>
    <row r="341" spans="14:74" ht="14.25">
      <c r="N341" s="84"/>
      <c r="O341" s="84"/>
      <c r="P341" s="84"/>
      <c r="Q341" s="84"/>
      <c r="R341" s="84"/>
      <c r="S341" s="84"/>
      <c r="T341" s="84"/>
      <c r="U341" s="84"/>
      <c r="V341" s="84"/>
      <c r="W341" s="84"/>
      <c r="Y341" s="84"/>
      <c r="Z341" s="84"/>
      <c r="AA341" s="84"/>
      <c r="AB341" s="84"/>
      <c r="AC341" s="84"/>
      <c r="AD341" s="84"/>
      <c r="AE341" s="84"/>
      <c r="AF341" s="84"/>
      <c r="AG341" s="84"/>
      <c r="AH341" s="84"/>
      <c r="AI341" s="84"/>
      <c r="AL341" s="84"/>
      <c r="AM341" s="84"/>
      <c r="AN341" s="84"/>
      <c r="AO341" s="84"/>
      <c r="AP341" s="84"/>
      <c r="AQ341" s="84"/>
      <c r="AR341" s="84"/>
      <c r="AS341" s="84"/>
      <c r="AT341" s="84"/>
      <c r="AU341" s="84"/>
      <c r="AV341" s="84"/>
      <c r="AY341" s="84"/>
      <c r="AZ341" s="84"/>
      <c r="BA341" s="84"/>
      <c r="BB341" s="84"/>
      <c r="BC341" s="84"/>
      <c r="BD341" s="84"/>
      <c r="BE341" s="84"/>
      <c r="BF341" s="942"/>
      <c r="BG341" s="942"/>
      <c r="BH341" s="942"/>
      <c r="BI341" s="84"/>
      <c r="BL341" s="84"/>
      <c r="BM341" s="84"/>
      <c r="BN341" s="84"/>
      <c r="BO341" s="84"/>
      <c r="BP341" s="84"/>
      <c r="BQ341" s="84"/>
      <c r="BR341" s="84"/>
      <c r="BS341" s="942"/>
      <c r="BT341" s="942"/>
      <c r="BU341" s="942"/>
      <c r="BV341" s="84"/>
    </row>
    <row r="342" spans="14:74" ht="14.25">
      <c r="N342" s="84"/>
      <c r="O342" s="84"/>
      <c r="P342" s="84"/>
      <c r="Q342" s="84"/>
      <c r="R342" s="84"/>
      <c r="S342" s="84"/>
      <c r="T342" s="84"/>
      <c r="U342" s="84"/>
      <c r="V342" s="84"/>
      <c r="W342" s="84"/>
      <c r="Y342" s="84"/>
      <c r="Z342" s="84"/>
      <c r="AA342" s="84"/>
      <c r="AB342" s="84"/>
      <c r="AC342" s="84"/>
      <c r="AD342" s="84"/>
      <c r="AE342" s="84"/>
      <c r="AF342" s="84"/>
      <c r="AG342" s="84"/>
      <c r="AH342" s="84"/>
      <c r="AI342" s="84"/>
      <c r="AL342" s="84"/>
      <c r="AM342" s="84"/>
      <c r="AN342" s="84"/>
      <c r="AO342" s="84"/>
      <c r="AP342" s="84"/>
      <c r="AQ342" s="84"/>
      <c r="AR342" s="84"/>
      <c r="AS342" s="84"/>
      <c r="AT342" s="84"/>
      <c r="AU342" s="84"/>
      <c r="AV342" s="84"/>
      <c r="AY342" s="84"/>
      <c r="AZ342" s="84"/>
      <c r="BA342" s="84"/>
      <c r="BB342" s="84"/>
      <c r="BC342" s="84"/>
      <c r="BD342" s="84"/>
      <c r="BE342" s="84"/>
      <c r="BF342" s="942"/>
      <c r="BG342" s="942"/>
      <c r="BH342" s="942"/>
      <c r="BI342" s="84"/>
      <c r="BL342" s="84"/>
      <c r="BM342" s="84"/>
      <c r="BN342" s="84"/>
      <c r="BO342" s="84"/>
      <c r="BP342" s="84"/>
      <c r="BQ342" s="84"/>
      <c r="BR342" s="84"/>
      <c r="BS342" s="942"/>
      <c r="BT342" s="942"/>
      <c r="BU342" s="942"/>
      <c r="BV342" s="84"/>
    </row>
    <row r="343" spans="14:74" ht="14.25">
      <c r="N343" s="84"/>
      <c r="O343" s="84"/>
      <c r="P343" s="84"/>
      <c r="Q343" s="84"/>
      <c r="R343" s="84"/>
      <c r="S343" s="84"/>
      <c r="T343" s="84"/>
      <c r="U343" s="84"/>
      <c r="V343" s="84"/>
      <c r="W343" s="84"/>
      <c r="Y343" s="84"/>
      <c r="Z343" s="84"/>
      <c r="AA343" s="84"/>
      <c r="AB343" s="84"/>
      <c r="AC343" s="84"/>
      <c r="AD343" s="84"/>
      <c r="AE343" s="84"/>
      <c r="AF343" s="84"/>
      <c r="AG343" s="84"/>
      <c r="AH343" s="84"/>
      <c r="AI343" s="84"/>
      <c r="AL343" s="84"/>
      <c r="AM343" s="84"/>
      <c r="AN343" s="84"/>
      <c r="AO343" s="84"/>
      <c r="AP343" s="84"/>
      <c r="AQ343" s="84"/>
      <c r="AR343" s="84"/>
      <c r="AS343" s="84"/>
      <c r="AT343" s="84"/>
      <c r="AU343" s="84"/>
      <c r="AV343" s="84"/>
      <c r="AY343" s="84"/>
      <c r="AZ343" s="84"/>
      <c r="BA343" s="84"/>
      <c r="BB343" s="84"/>
      <c r="BC343" s="84"/>
      <c r="BD343" s="84"/>
      <c r="BE343" s="84"/>
      <c r="BF343" s="942"/>
      <c r="BG343" s="942"/>
      <c r="BH343" s="942"/>
      <c r="BI343" s="84"/>
      <c r="BL343" s="84"/>
      <c r="BM343" s="84"/>
      <c r="BN343" s="84"/>
      <c r="BO343" s="84"/>
      <c r="BP343" s="84"/>
      <c r="BQ343" s="84"/>
      <c r="BR343" s="84"/>
      <c r="BS343" s="942"/>
      <c r="BT343" s="942"/>
      <c r="BU343" s="942"/>
      <c r="BV343" s="84"/>
    </row>
    <row r="344" spans="14:74" ht="14.25">
      <c r="N344" s="84"/>
      <c r="O344" s="84"/>
      <c r="P344" s="84"/>
      <c r="Q344" s="84"/>
      <c r="R344" s="84"/>
      <c r="S344" s="84"/>
      <c r="T344" s="84"/>
      <c r="U344" s="84"/>
      <c r="V344" s="84"/>
      <c r="W344" s="84"/>
      <c r="Y344" s="84"/>
      <c r="Z344" s="84"/>
      <c r="AA344" s="84"/>
      <c r="AB344" s="84"/>
      <c r="AC344" s="84"/>
      <c r="AD344" s="84"/>
      <c r="AE344" s="84"/>
      <c r="AF344" s="84"/>
      <c r="AG344" s="84"/>
      <c r="AH344" s="84"/>
      <c r="AI344" s="84"/>
      <c r="AL344" s="84"/>
      <c r="AM344" s="84"/>
      <c r="AN344" s="84"/>
      <c r="AO344" s="84"/>
      <c r="AP344" s="84"/>
      <c r="AQ344" s="84"/>
      <c r="AR344" s="84"/>
      <c r="AS344" s="84"/>
      <c r="AT344" s="84"/>
      <c r="AU344" s="84"/>
      <c r="AV344" s="84"/>
      <c r="AY344" s="84"/>
      <c r="AZ344" s="84"/>
      <c r="BA344" s="84"/>
      <c r="BB344" s="84"/>
      <c r="BC344" s="84"/>
      <c r="BD344" s="84"/>
      <c r="BE344" s="84"/>
      <c r="BF344" s="942"/>
      <c r="BG344" s="942"/>
      <c r="BH344" s="942"/>
      <c r="BI344" s="84"/>
      <c r="BL344" s="84"/>
      <c r="BM344" s="84"/>
      <c r="BN344" s="84"/>
      <c r="BO344" s="84"/>
      <c r="BP344" s="84"/>
      <c r="BQ344" s="84"/>
      <c r="BR344" s="84"/>
      <c r="BS344" s="942"/>
      <c r="BT344" s="942"/>
      <c r="BU344" s="942"/>
      <c r="BV344" s="84"/>
    </row>
    <row r="345" spans="14:74" ht="14.25">
      <c r="N345" s="84"/>
      <c r="O345" s="84"/>
      <c r="P345" s="84"/>
      <c r="Q345" s="84"/>
      <c r="R345" s="84"/>
      <c r="S345" s="84"/>
      <c r="T345" s="84"/>
      <c r="U345" s="84"/>
      <c r="V345" s="84"/>
      <c r="W345" s="84"/>
      <c r="Y345" s="84"/>
      <c r="Z345" s="84"/>
      <c r="AA345" s="84"/>
      <c r="AB345" s="84"/>
      <c r="AC345" s="84"/>
      <c r="AD345" s="84"/>
      <c r="AE345" s="84"/>
      <c r="AF345" s="84"/>
      <c r="AG345" s="84"/>
      <c r="AH345" s="84"/>
      <c r="AI345" s="84"/>
      <c r="AL345" s="84"/>
      <c r="AM345" s="84"/>
      <c r="AN345" s="84"/>
      <c r="AO345" s="84"/>
      <c r="AP345" s="84"/>
      <c r="AQ345" s="84"/>
      <c r="AR345" s="84"/>
      <c r="AS345" s="84"/>
      <c r="AT345" s="84"/>
      <c r="AU345" s="84"/>
      <c r="AV345" s="84"/>
      <c r="AY345" s="84"/>
      <c r="AZ345" s="84"/>
      <c r="BA345" s="84"/>
      <c r="BB345" s="84"/>
      <c r="BC345" s="84"/>
      <c r="BD345" s="84"/>
      <c r="BE345" s="84"/>
      <c r="BF345" s="942"/>
      <c r="BG345" s="942"/>
      <c r="BH345" s="942"/>
      <c r="BI345" s="84"/>
      <c r="BL345" s="84"/>
      <c r="BM345" s="84"/>
      <c r="BN345" s="84"/>
      <c r="BO345" s="84"/>
      <c r="BP345" s="84"/>
      <c r="BQ345" s="84"/>
      <c r="BR345" s="84"/>
      <c r="BS345" s="942"/>
      <c r="BT345" s="942"/>
      <c r="BU345" s="942"/>
      <c r="BV345" s="84"/>
    </row>
    <row r="346" spans="14:74" ht="14.25">
      <c r="N346" s="84"/>
      <c r="O346" s="84"/>
      <c r="P346" s="84"/>
      <c r="Q346" s="84"/>
      <c r="R346" s="84"/>
      <c r="S346" s="84"/>
      <c r="T346" s="84"/>
      <c r="U346" s="84"/>
      <c r="V346" s="84"/>
      <c r="W346" s="84"/>
      <c r="Y346" s="84"/>
      <c r="Z346" s="84"/>
      <c r="AA346" s="84"/>
      <c r="AB346" s="84"/>
      <c r="AC346" s="84"/>
      <c r="AD346" s="84"/>
      <c r="AE346" s="84"/>
      <c r="AF346" s="84"/>
      <c r="AG346" s="84"/>
      <c r="AH346" s="84"/>
      <c r="AI346" s="84"/>
      <c r="AL346" s="84"/>
      <c r="AM346" s="84"/>
      <c r="AN346" s="84"/>
      <c r="AO346" s="84"/>
      <c r="AP346" s="84"/>
      <c r="AQ346" s="84"/>
      <c r="AR346" s="84"/>
      <c r="AS346" s="84"/>
      <c r="AT346" s="84"/>
      <c r="AU346" s="84"/>
      <c r="AV346" s="84"/>
      <c r="AY346" s="84"/>
      <c r="AZ346" s="84"/>
      <c r="BA346" s="84"/>
      <c r="BB346" s="84"/>
      <c r="BC346" s="84"/>
      <c r="BD346" s="84"/>
      <c r="BE346" s="84"/>
      <c r="BF346" s="942"/>
      <c r="BG346" s="942"/>
      <c r="BH346" s="942"/>
      <c r="BI346" s="84"/>
      <c r="BL346" s="84"/>
      <c r="BM346" s="84"/>
      <c r="BN346" s="84"/>
      <c r="BO346" s="84"/>
      <c r="BP346" s="84"/>
      <c r="BQ346" s="84"/>
      <c r="BR346" s="84"/>
      <c r="BS346" s="942"/>
      <c r="BT346" s="942"/>
      <c r="BU346" s="942"/>
      <c r="BV346" s="84"/>
    </row>
    <row r="347" spans="14:74" ht="14.25">
      <c r="N347" s="84"/>
      <c r="O347" s="84"/>
      <c r="P347" s="84"/>
      <c r="Q347" s="84"/>
      <c r="R347" s="84"/>
      <c r="S347" s="84"/>
      <c r="T347" s="84"/>
      <c r="U347" s="84"/>
      <c r="V347" s="84"/>
      <c r="W347" s="84"/>
      <c r="Y347" s="84"/>
      <c r="Z347" s="84"/>
      <c r="AA347" s="84"/>
      <c r="AB347" s="84"/>
      <c r="AC347" s="84"/>
      <c r="AD347" s="84"/>
      <c r="AE347" s="84"/>
      <c r="AF347" s="84"/>
      <c r="AG347" s="84"/>
      <c r="AH347" s="84"/>
      <c r="AI347" s="84"/>
      <c r="AL347" s="84"/>
      <c r="AM347" s="84"/>
      <c r="AN347" s="84"/>
      <c r="AO347" s="84"/>
      <c r="AP347" s="84"/>
      <c r="AQ347" s="84"/>
      <c r="AR347" s="84"/>
      <c r="AS347" s="84"/>
      <c r="AT347" s="84"/>
      <c r="AU347" s="84"/>
      <c r="AV347" s="84"/>
      <c r="AY347" s="84"/>
      <c r="AZ347" s="84"/>
      <c r="BA347" s="84"/>
      <c r="BB347" s="84"/>
      <c r="BC347" s="84"/>
      <c r="BD347" s="84"/>
      <c r="BE347" s="84"/>
      <c r="BF347" s="942"/>
      <c r="BG347" s="942"/>
      <c r="BH347" s="942"/>
      <c r="BI347" s="84"/>
      <c r="BL347" s="84"/>
      <c r="BM347" s="84"/>
      <c r="BN347" s="84"/>
      <c r="BO347" s="84"/>
      <c r="BP347" s="84"/>
      <c r="BQ347" s="84"/>
      <c r="BR347" s="84"/>
      <c r="BS347" s="942"/>
      <c r="BT347" s="942"/>
      <c r="BU347" s="942"/>
      <c r="BV347" s="84"/>
    </row>
    <row r="348" spans="14:74" ht="14.25">
      <c r="N348" s="84"/>
      <c r="O348" s="84"/>
      <c r="P348" s="84"/>
      <c r="Q348" s="84"/>
      <c r="R348" s="84"/>
      <c r="S348" s="84"/>
      <c r="T348" s="84"/>
      <c r="U348" s="84"/>
      <c r="V348" s="84"/>
      <c r="W348" s="84"/>
      <c r="Y348" s="84"/>
      <c r="Z348" s="84"/>
      <c r="AA348" s="84"/>
      <c r="AB348" s="84"/>
      <c r="AC348" s="84"/>
      <c r="AD348" s="84"/>
      <c r="AE348" s="84"/>
      <c r="AF348" s="84"/>
      <c r="AG348" s="84"/>
      <c r="AH348" s="84"/>
      <c r="AI348" s="84"/>
      <c r="AL348" s="84"/>
      <c r="AM348" s="84"/>
      <c r="AN348" s="84"/>
      <c r="AO348" s="84"/>
      <c r="AP348" s="84"/>
      <c r="AQ348" s="84"/>
      <c r="AR348" s="84"/>
      <c r="AS348" s="84"/>
      <c r="AT348" s="84"/>
      <c r="AU348" s="84"/>
      <c r="AV348" s="84"/>
      <c r="AY348" s="84"/>
      <c r="AZ348" s="84"/>
      <c r="BA348" s="84"/>
      <c r="BB348" s="84"/>
      <c r="BC348" s="84"/>
      <c r="BD348" s="84"/>
      <c r="BE348" s="84"/>
      <c r="BF348" s="942"/>
      <c r="BG348" s="942"/>
      <c r="BH348" s="942"/>
      <c r="BI348" s="84"/>
      <c r="BL348" s="84"/>
      <c r="BM348" s="84"/>
      <c r="BN348" s="84"/>
      <c r="BO348" s="84"/>
      <c r="BP348" s="84"/>
      <c r="BQ348" s="84"/>
      <c r="BR348" s="84"/>
      <c r="BS348" s="942"/>
      <c r="BT348" s="942"/>
      <c r="BU348" s="942"/>
      <c r="BV348" s="84"/>
    </row>
    <row r="349" spans="14:74" ht="14.25">
      <c r="N349" s="84"/>
      <c r="O349" s="84"/>
      <c r="P349" s="84"/>
      <c r="Q349" s="84"/>
      <c r="R349" s="84"/>
      <c r="S349" s="84"/>
      <c r="T349" s="84"/>
      <c r="U349" s="84"/>
      <c r="V349" s="84"/>
      <c r="W349" s="84"/>
      <c r="Y349" s="84"/>
      <c r="Z349" s="84"/>
      <c r="AA349" s="84"/>
      <c r="AB349" s="84"/>
      <c r="AC349" s="84"/>
      <c r="AD349" s="84"/>
      <c r="AE349" s="84"/>
      <c r="AF349" s="84"/>
      <c r="AG349" s="84"/>
      <c r="AH349" s="84"/>
      <c r="AI349" s="84"/>
      <c r="AL349" s="84"/>
      <c r="AM349" s="84"/>
      <c r="AN349" s="84"/>
      <c r="AO349" s="84"/>
      <c r="AP349" s="84"/>
      <c r="AQ349" s="84"/>
      <c r="AR349" s="84"/>
      <c r="AS349" s="84"/>
      <c r="AT349" s="84"/>
      <c r="AU349" s="84"/>
      <c r="AV349" s="84"/>
      <c r="AY349" s="84"/>
      <c r="AZ349" s="84"/>
      <c r="BA349" s="84"/>
      <c r="BB349" s="84"/>
      <c r="BC349" s="84"/>
      <c r="BD349" s="84"/>
      <c r="BE349" s="84"/>
      <c r="BF349" s="942"/>
      <c r="BG349" s="942"/>
      <c r="BH349" s="942"/>
      <c r="BI349" s="84"/>
      <c r="BL349" s="84"/>
      <c r="BM349" s="84"/>
      <c r="BN349" s="84"/>
      <c r="BO349" s="84"/>
      <c r="BP349" s="84"/>
      <c r="BQ349" s="84"/>
      <c r="BR349" s="84"/>
      <c r="BS349" s="942"/>
      <c r="BT349" s="942"/>
      <c r="BU349" s="942"/>
      <c r="BV349" s="84"/>
    </row>
    <row r="350" spans="14:74" ht="14.25">
      <c r="N350" s="84"/>
      <c r="O350" s="84"/>
      <c r="P350" s="84"/>
      <c r="Q350" s="84"/>
      <c r="R350" s="84"/>
      <c r="S350" s="84"/>
      <c r="T350" s="84"/>
      <c r="U350" s="84"/>
      <c r="V350" s="84"/>
      <c r="W350" s="84"/>
      <c r="Y350" s="84"/>
      <c r="Z350" s="84"/>
      <c r="AA350" s="84"/>
      <c r="AB350" s="84"/>
      <c r="AC350" s="84"/>
      <c r="AD350" s="84"/>
      <c r="AE350" s="84"/>
      <c r="AF350" s="84"/>
      <c r="AG350" s="84"/>
      <c r="AH350" s="84"/>
      <c r="AI350" s="84"/>
      <c r="AL350" s="84"/>
      <c r="AM350" s="84"/>
      <c r="AN350" s="84"/>
      <c r="AO350" s="84"/>
      <c r="AP350" s="84"/>
      <c r="AQ350" s="84"/>
      <c r="AR350" s="84"/>
      <c r="AS350" s="84"/>
      <c r="AT350" s="84"/>
      <c r="AU350" s="84"/>
      <c r="AV350" s="84"/>
      <c r="AY350" s="84"/>
      <c r="AZ350" s="84"/>
      <c r="BA350" s="84"/>
      <c r="BB350" s="84"/>
      <c r="BC350" s="84"/>
      <c r="BD350" s="84"/>
      <c r="BE350" s="84"/>
      <c r="BF350" s="942"/>
      <c r="BG350" s="942"/>
      <c r="BH350" s="942"/>
      <c r="BI350" s="84"/>
      <c r="BL350" s="84"/>
      <c r="BM350" s="84"/>
      <c r="BN350" s="84"/>
      <c r="BO350" s="84"/>
      <c r="BP350" s="84"/>
      <c r="BQ350" s="84"/>
      <c r="BR350" s="84"/>
      <c r="BS350" s="942"/>
      <c r="BT350" s="942"/>
      <c r="BU350" s="942"/>
      <c r="BV350" s="84"/>
    </row>
    <row r="351" spans="14:74" ht="14.25">
      <c r="N351" s="84"/>
      <c r="O351" s="84"/>
      <c r="P351" s="84"/>
      <c r="Q351" s="84"/>
      <c r="R351" s="84"/>
      <c r="S351" s="84"/>
      <c r="T351" s="84"/>
      <c r="U351" s="84"/>
      <c r="V351" s="84"/>
      <c r="W351" s="84"/>
      <c r="Y351" s="84"/>
      <c r="Z351" s="84"/>
      <c r="AA351" s="84"/>
      <c r="AB351" s="84"/>
      <c r="AC351" s="84"/>
      <c r="AD351" s="84"/>
      <c r="AE351" s="84"/>
      <c r="AF351" s="84"/>
      <c r="AG351" s="84"/>
      <c r="AH351" s="84"/>
      <c r="AI351" s="84"/>
      <c r="AL351" s="84"/>
      <c r="AM351" s="84"/>
      <c r="AN351" s="84"/>
      <c r="AO351" s="84"/>
      <c r="AP351" s="84"/>
      <c r="AQ351" s="84"/>
      <c r="AR351" s="84"/>
      <c r="AS351" s="84"/>
      <c r="AT351" s="84"/>
      <c r="AU351" s="84"/>
      <c r="AV351" s="84"/>
      <c r="AY351" s="84"/>
      <c r="AZ351" s="84"/>
      <c r="BA351" s="84"/>
      <c r="BB351" s="84"/>
      <c r="BC351" s="84"/>
      <c r="BD351" s="84"/>
      <c r="BE351" s="84"/>
      <c r="BF351" s="942"/>
      <c r="BG351" s="942"/>
      <c r="BH351" s="942"/>
      <c r="BI351" s="84"/>
      <c r="BL351" s="84"/>
      <c r="BM351" s="84"/>
      <c r="BN351" s="84"/>
      <c r="BO351" s="84"/>
      <c r="BP351" s="84"/>
      <c r="BQ351" s="84"/>
      <c r="BR351" s="84"/>
      <c r="BS351" s="942"/>
      <c r="BT351" s="942"/>
      <c r="BU351" s="942"/>
      <c r="BV351" s="84"/>
    </row>
    <row r="352" spans="14:74" ht="14.25">
      <c r="N352" s="84"/>
      <c r="O352" s="84"/>
      <c r="P352" s="84"/>
      <c r="Q352" s="84"/>
      <c r="R352" s="84"/>
      <c r="S352" s="84"/>
      <c r="T352" s="84"/>
      <c r="U352" s="84"/>
      <c r="V352" s="84"/>
      <c r="W352" s="84"/>
      <c r="Y352" s="84"/>
      <c r="Z352" s="84"/>
      <c r="AA352" s="84"/>
      <c r="AB352" s="84"/>
      <c r="AC352" s="84"/>
      <c r="AD352" s="84"/>
      <c r="AE352" s="84"/>
      <c r="AF352" s="84"/>
      <c r="AG352" s="84"/>
      <c r="AH352" s="84"/>
      <c r="AI352" s="84"/>
      <c r="AL352" s="84"/>
      <c r="AM352" s="84"/>
      <c r="AN352" s="84"/>
      <c r="AO352" s="84"/>
      <c r="AP352" s="84"/>
      <c r="AQ352" s="84"/>
      <c r="AR352" s="84"/>
      <c r="AS352" s="84"/>
      <c r="AT352" s="84"/>
      <c r="AU352" s="84"/>
      <c r="AV352" s="84"/>
      <c r="AY352" s="84"/>
      <c r="AZ352" s="84"/>
      <c r="BA352" s="84"/>
      <c r="BB352" s="84"/>
      <c r="BC352" s="84"/>
      <c r="BD352" s="84"/>
      <c r="BE352" s="84"/>
      <c r="BF352" s="942"/>
      <c r="BG352" s="942"/>
      <c r="BH352" s="942"/>
      <c r="BI352" s="84"/>
      <c r="BL352" s="84"/>
      <c r="BM352" s="84"/>
      <c r="BN352" s="84"/>
      <c r="BO352" s="84"/>
      <c r="BP352" s="84"/>
      <c r="BQ352" s="84"/>
      <c r="BR352" s="84"/>
      <c r="BS352" s="942"/>
      <c r="BT352" s="942"/>
      <c r="BU352" s="942"/>
      <c r="BV352" s="84"/>
    </row>
    <row r="353" spans="14:74" ht="14.25">
      <c r="N353" s="84"/>
      <c r="O353" s="84"/>
      <c r="P353" s="84"/>
      <c r="Q353" s="84"/>
      <c r="R353" s="84"/>
      <c r="S353" s="84"/>
      <c r="T353" s="84"/>
      <c r="U353" s="84"/>
      <c r="V353" s="84"/>
      <c r="W353" s="84"/>
      <c r="Y353" s="84"/>
      <c r="Z353" s="84"/>
      <c r="AA353" s="84"/>
      <c r="AB353" s="84"/>
      <c r="AC353" s="84"/>
      <c r="AD353" s="84"/>
      <c r="AE353" s="84"/>
      <c r="AF353" s="84"/>
      <c r="AG353" s="84"/>
      <c r="AH353" s="84"/>
      <c r="AI353" s="84"/>
      <c r="AL353" s="84"/>
      <c r="AM353" s="84"/>
      <c r="AN353" s="84"/>
      <c r="AO353" s="84"/>
      <c r="AP353" s="84"/>
      <c r="AQ353" s="84"/>
      <c r="AR353" s="84"/>
      <c r="AS353" s="84"/>
      <c r="AT353" s="84"/>
      <c r="AU353" s="84"/>
      <c r="AV353" s="84"/>
      <c r="AY353" s="84"/>
      <c r="AZ353" s="84"/>
      <c r="BA353" s="84"/>
      <c r="BB353" s="84"/>
      <c r="BC353" s="84"/>
      <c r="BD353" s="84"/>
      <c r="BE353" s="84"/>
      <c r="BF353" s="942"/>
      <c r="BG353" s="942"/>
      <c r="BH353" s="942"/>
      <c r="BI353" s="84"/>
      <c r="BL353" s="84"/>
      <c r="BM353" s="84"/>
      <c r="BN353" s="84"/>
      <c r="BO353" s="84"/>
      <c r="BP353" s="84"/>
      <c r="BQ353" s="84"/>
      <c r="BR353" s="84"/>
      <c r="BS353" s="942"/>
      <c r="BT353" s="942"/>
      <c r="BU353" s="942"/>
      <c r="BV353" s="84"/>
    </row>
    <row r="354" spans="14:74" ht="14.25">
      <c r="N354" s="84"/>
      <c r="O354" s="84"/>
      <c r="P354" s="84"/>
      <c r="Q354" s="84"/>
      <c r="R354" s="84"/>
      <c r="S354" s="84"/>
      <c r="T354" s="84"/>
      <c r="U354" s="84"/>
      <c r="V354" s="84"/>
      <c r="W354" s="84"/>
      <c r="Y354" s="84"/>
      <c r="Z354" s="84"/>
      <c r="AA354" s="84"/>
      <c r="AB354" s="84"/>
      <c r="AC354" s="84"/>
      <c r="AD354" s="84"/>
      <c r="AE354" s="84"/>
      <c r="AF354" s="84"/>
      <c r="AG354" s="84"/>
      <c r="AH354" s="84"/>
      <c r="AI354" s="84"/>
      <c r="AL354" s="84"/>
      <c r="AM354" s="84"/>
      <c r="AN354" s="84"/>
      <c r="AO354" s="84"/>
      <c r="AP354" s="84"/>
      <c r="AQ354" s="84"/>
      <c r="AR354" s="84"/>
      <c r="AS354" s="84"/>
      <c r="AT354" s="84"/>
      <c r="AU354" s="84"/>
      <c r="AV354" s="84"/>
      <c r="AY354" s="84"/>
      <c r="AZ354" s="84"/>
      <c r="BA354" s="84"/>
      <c r="BB354" s="84"/>
      <c r="BC354" s="84"/>
      <c r="BD354" s="84"/>
      <c r="BE354" s="84"/>
      <c r="BF354" s="942"/>
      <c r="BG354" s="942"/>
      <c r="BH354" s="942"/>
      <c r="BI354" s="84"/>
      <c r="BL354" s="84"/>
      <c r="BM354" s="84"/>
      <c r="BN354" s="84"/>
      <c r="BO354" s="84"/>
      <c r="BP354" s="84"/>
      <c r="BQ354" s="84"/>
      <c r="BR354" s="84"/>
      <c r="BS354" s="942"/>
      <c r="BT354" s="942"/>
      <c r="BU354" s="942"/>
      <c r="BV354" s="84"/>
    </row>
    <row r="355" spans="14:74" ht="14.25">
      <c r="N355" s="84"/>
      <c r="O355" s="84"/>
      <c r="P355" s="84"/>
      <c r="Q355" s="84"/>
      <c r="R355" s="84"/>
      <c r="S355" s="84"/>
      <c r="T355" s="84"/>
      <c r="U355" s="84"/>
      <c r="V355" s="84"/>
      <c r="W355" s="84"/>
      <c r="Y355" s="84"/>
      <c r="Z355" s="84"/>
      <c r="AA355" s="84"/>
      <c r="AB355" s="84"/>
      <c r="AC355" s="84"/>
      <c r="AD355" s="84"/>
      <c r="AE355" s="84"/>
      <c r="AF355" s="84"/>
      <c r="AG355" s="84"/>
      <c r="AH355" s="84"/>
      <c r="AI355" s="84"/>
      <c r="AL355" s="84"/>
      <c r="AM355" s="84"/>
      <c r="AN355" s="84"/>
      <c r="AO355" s="84"/>
      <c r="AP355" s="84"/>
      <c r="AQ355" s="84"/>
      <c r="AR355" s="84"/>
      <c r="AS355" s="84"/>
      <c r="AT355" s="84"/>
      <c r="AU355" s="84"/>
      <c r="AV355" s="84"/>
      <c r="AY355" s="84"/>
      <c r="AZ355" s="84"/>
      <c r="BA355" s="84"/>
      <c r="BB355" s="84"/>
      <c r="BC355" s="84"/>
      <c r="BD355" s="84"/>
      <c r="BE355" s="84"/>
      <c r="BF355" s="942"/>
      <c r="BG355" s="942"/>
      <c r="BH355" s="942"/>
      <c r="BI355" s="84"/>
      <c r="BL355" s="84"/>
      <c r="BM355" s="84"/>
      <c r="BN355" s="84"/>
      <c r="BO355" s="84"/>
      <c r="BP355" s="84"/>
      <c r="BQ355" s="84"/>
      <c r="BR355" s="84"/>
      <c r="BS355" s="942"/>
      <c r="BT355" s="942"/>
      <c r="BU355" s="942"/>
      <c r="BV355" s="84"/>
    </row>
    <row r="356" spans="14:74" ht="14.25">
      <c r="N356" s="84"/>
      <c r="O356" s="84"/>
      <c r="P356" s="84"/>
      <c r="Q356" s="84"/>
      <c r="R356" s="84"/>
      <c r="S356" s="84"/>
      <c r="T356" s="84"/>
      <c r="U356" s="84"/>
      <c r="V356" s="84"/>
      <c r="W356" s="84"/>
      <c r="Y356" s="84"/>
      <c r="Z356" s="84"/>
      <c r="AA356" s="84"/>
      <c r="AB356" s="84"/>
      <c r="AC356" s="84"/>
      <c r="AD356" s="84"/>
      <c r="AE356" s="84"/>
      <c r="AF356" s="84"/>
      <c r="AG356" s="84"/>
      <c r="AH356" s="84"/>
      <c r="AI356" s="84"/>
      <c r="AL356" s="84"/>
      <c r="AM356" s="84"/>
      <c r="AN356" s="84"/>
      <c r="AO356" s="84"/>
      <c r="AP356" s="84"/>
      <c r="AQ356" s="84"/>
      <c r="AR356" s="84"/>
      <c r="AS356" s="84"/>
      <c r="AT356" s="84"/>
      <c r="AU356" s="84"/>
      <c r="AV356" s="84"/>
      <c r="AY356" s="84"/>
      <c r="AZ356" s="84"/>
      <c r="BA356" s="84"/>
      <c r="BB356" s="84"/>
      <c r="BC356" s="84"/>
      <c r="BD356" s="84"/>
      <c r="BE356" s="84"/>
      <c r="BF356" s="942"/>
      <c r="BG356" s="942"/>
      <c r="BH356" s="942"/>
      <c r="BI356" s="84"/>
      <c r="BL356" s="84"/>
      <c r="BM356" s="84"/>
      <c r="BN356" s="84"/>
      <c r="BO356" s="84"/>
      <c r="BP356" s="84"/>
      <c r="BQ356" s="84"/>
      <c r="BR356" s="84"/>
      <c r="BS356" s="942"/>
      <c r="BT356" s="942"/>
      <c r="BU356" s="942"/>
      <c r="BV356" s="84"/>
    </row>
    <row r="357" spans="14:74" ht="14.25">
      <c r="N357" s="84"/>
      <c r="O357" s="84"/>
      <c r="P357" s="84"/>
      <c r="Q357" s="84"/>
      <c r="R357" s="84"/>
      <c r="S357" s="84"/>
      <c r="T357" s="84"/>
      <c r="U357" s="84"/>
      <c r="V357" s="84"/>
      <c r="W357" s="84"/>
      <c r="Y357" s="84"/>
      <c r="Z357" s="84"/>
      <c r="AA357" s="84"/>
      <c r="AB357" s="84"/>
      <c r="AC357" s="84"/>
      <c r="AD357" s="84"/>
      <c r="AE357" s="84"/>
      <c r="AF357" s="84"/>
      <c r="AG357" s="84"/>
      <c r="AH357" s="84"/>
      <c r="AI357" s="84"/>
      <c r="AL357" s="84"/>
      <c r="AM357" s="84"/>
      <c r="AN357" s="84"/>
      <c r="AO357" s="84"/>
      <c r="AP357" s="84"/>
      <c r="AQ357" s="84"/>
      <c r="AR357" s="84"/>
      <c r="AS357" s="84"/>
      <c r="AT357" s="84"/>
      <c r="AU357" s="84"/>
      <c r="AV357" s="84"/>
      <c r="AY357" s="84"/>
      <c r="AZ357" s="84"/>
      <c r="BA357" s="84"/>
      <c r="BB357" s="84"/>
      <c r="BC357" s="84"/>
      <c r="BD357" s="84"/>
      <c r="BE357" s="84"/>
      <c r="BF357" s="942"/>
      <c r="BG357" s="942"/>
      <c r="BH357" s="942"/>
      <c r="BI357" s="84"/>
      <c r="BL357" s="84"/>
      <c r="BM357" s="84"/>
      <c r="BN357" s="84"/>
      <c r="BO357" s="84"/>
      <c r="BP357" s="84"/>
      <c r="BQ357" s="84"/>
      <c r="BR357" s="84"/>
      <c r="BS357" s="942"/>
      <c r="BT357" s="942"/>
      <c r="BU357" s="942"/>
      <c r="BV357" s="84"/>
    </row>
    <row r="358" spans="14:74" ht="14.25">
      <c r="N358" s="84"/>
      <c r="O358" s="84"/>
      <c r="P358" s="84"/>
      <c r="Q358" s="84"/>
      <c r="R358" s="84"/>
      <c r="S358" s="84"/>
      <c r="T358" s="84"/>
      <c r="U358" s="84"/>
      <c r="V358" s="84"/>
      <c r="W358" s="84"/>
      <c r="Y358" s="84"/>
      <c r="Z358" s="84"/>
      <c r="AA358" s="84"/>
      <c r="AB358" s="84"/>
      <c r="AC358" s="84"/>
      <c r="AD358" s="84"/>
      <c r="AE358" s="84"/>
      <c r="AF358" s="84"/>
      <c r="AG358" s="84"/>
      <c r="AH358" s="84"/>
      <c r="AI358" s="84"/>
      <c r="AL358" s="84"/>
      <c r="AM358" s="84"/>
      <c r="AN358" s="84"/>
      <c r="AO358" s="84"/>
      <c r="AP358" s="84"/>
      <c r="AQ358" s="84"/>
      <c r="AR358" s="84"/>
      <c r="AS358" s="84"/>
      <c r="AT358" s="84"/>
      <c r="AU358" s="84"/>
      <c r="AV358" s="84"/>
      <c r="AY358" s="84"/>
      <c r="AZ358" s="84"/>
      <c r="BA358" s="84"/>
      <c r="BB358" s="84"/>
      <c r="BC358" s="84"/>
      <c r="BD358" s="84"/>
      <c r="BE358" s="84"/>
      <c r="BF358" s="942"/>
      <c r="BG358" s="942"/>
      <c r="BH358" s="942"/>
      <c r="BI358" s="84"/>
      <c r="BL358" s="84"/>
      <c r="BM358" s="84"/>
      <c r="BN358" s="84"/>
      <c r="BO358" s="84"/>
      <c r="BP358" s="84"/>
      <c r="BQ358" s="84"/>
      <c r="BR358" s="84"/>
      <c r="BS358" s="942"/>
      <c r="BT358" s="942"/>
      <c r="BU358" s="942"/>
      <c r="BV358" s="84"/>
    </row>
    <row r="359" spans="14:74" ht="14.25">
      <c r="N359" s="84"/>
      <c r="O359" s="84"/>
      <c r="P359" s="84"/>
      <c r="Q359" s="84"/>
      <c r="R359" s="84"/>
      <c r="S359" s="84"/>
      <c r="T359" s="84"/>
      <c r="U359" s="84"/>
      <c r="V359" s="84"/>
      <c r="W359" s="84"/>
      <c r="Y359" s="84"/>
      <c r="Z359" s="84"/>
      <c r="AA359" s="84"/>
      <c r="AB359" s="84"/>
      <c r="AC359" s="84"/>
      <c r="AD359" s="84"/>
      <c r="AE359" s="84"/>
      <c r="AF359" s="84"/>
      <c r="AG359" s="84"/>
      <c r="AH359" s="84"/>
      <c r="AI359" s="84"/>
      <c r="AL359" s="84"/>
      <c r="AM359" s="84"/>
      <c r="AN359" s="84"/>
      <c r="AO359" s="84"/>
      <c r="AP359" s="84"/>
      <c r="AQ359" s="84"/>
      <c r="AR359" s="84"/>
      <c r="AS359" s="84"/>
      <c r="AT359" s="84"/>
      <c r="AU359" s="84"/>
      <c r="AV359" s="84"/>
      <c r="AY359" s="84"/>
      <c r="AZ359" s="84"/>
      <c r="BA359" s="84"/>
      <c r="BB359" s="84"/>
      <c r="BC359" s="84"/>
      <c r="BD359" s="84"/>
      <c r="BE359" s="84"/>
      <c r="BF359" s="942"/>
      <c r="BG359" s="942"/>
      <c r="BH359" s="942"/>
      <c r="BI359" s="84"/>
      <c r="BL359" s="84"/>
      <c r="BM359" s="84"/>
      <c r="BN359" s="84"/>
      <c r="BO359" s="84"/>
      <c r="BP359" s="84"/>
      <c r="BQ359" s="84"/>
      <c r="BR359" s="84"/>
      <c r="BS359" s="942"/>
      <c r="BT359" s="942"/>
      <c r="BU359" s="942"/>
      <c r="BV359" s="84"/>
    </row>
    <row r="360" spans="14:74" ht="14.25">
      <c r="N360" s="84"/>
      <c r="O360" s="84"/>
      <c r="P360" s="84"/>
      <c r="Q360" s="84"/>
      <c r="R360" s="84"/>
      <c r="S360" s="84"/>
      <c r="T360" s="84"/>
      <c r="U360" s="84"/>
      <c r="V360" s="84"/>
      <c r="W360" s="84"/>
      <c r="Y360" s="84"/>
      <c r="Z360" s="84"/>
      <c r="AA360" s="84"/>
      <c r="AB360" s="84"/>
      <c r="AC360" s="84"/>
      <c r="AD360" s="84"/>
      <c r="AE360" s="84"/>
      <c r="AF360" s="84"/>
      <c r="AG360" s="84"/>
      <c r="AH360" s="84"/>
      <c r="AI360" s="84"/>
      <c r="AL360" s="84"/>
      <c r="AM360" s="84"/>
      <c r="AN360" s="84"/>
      <c r="AO360" s="84"/>
      <c r="AP360" s="84"/>
      <c r="AQ360" s="84"/>
      <c r="AR360" s="84"/>
      <c r="AS360" s="84"/>
      <c r="AT360" s="84"/>
      <c r="AU360" s="84"/>
      <c r="AV360" s="84"/>
      <c r="AY360" s="84"/>
      <c r="AZ360" s="84"/>
      <c r="BA360" s="84"/>
      <c r="BB360" s="84"/>
      <c r="BC360" s="84"/>
      <c r="BD360" s="84"/>
      <c r="BE360" s="84"/>
      <c r="BF360" s="942"/>
      <c r="BG360" s="942"/>
      <c r="BH360" s="942"/>
      <c r="BI360" s="84"/>
      <c r="BL360" s="84"/>
      <c r="BM360" s="84"/>
      <c r="BN360" s="84"/>
      <c r="BO360" s="84"/>
      <c r="BP360" s="84"/>
      <c r="BQ360" s="84"/>
      <c r="BR360" s="84"/>
      <c r="BS360" s="942"/>
      <c r="BT360" s="942"/>
      <c r="BU360" s="942"/>
      <c r="BV360" s="84"/>
    </row>
    <row r="361" spans="14:74" ht="14.25">
      <c r="N361" s="84"/>
      <c r="O361" s="84"/>
      <c r="P361" s="84"/>
      <c r="Q361" s="84"/>
      <c r="R361" s="84"/>
      <c r="S361" s="84"/>
      <c r="T361" s="84"/>
      <c r="U361" s="84"/>
      <c r="V361" s="84"/>
      <c r="W361" s="84"/>
      <c r="Y361" s="84"/>
      <c r="Z361" s="84"/>
      <c r="AA361" s="84"/>
      <c r="AB361" s="84"/>
      <c r="AC361" s="84"/>
      <c r="AD361" s="84"/>
      <c r="AE361" s="84"/>
      <c r="AF361" s="84"/>
      <c r="AG361" s="84"/>
      <c r="AH361" s="84"/>
      <c r="AI361" s="84"/>
      <c r="AL361" s="84"/>
      <c r="AM361" s="84"/>
      <c r="AN361" s="84"/>
      <c r="AO361" s="84"/>
      <c r="AP361" s="84"/>
      <c r="AQ361" s="84"/>
      <c r="AR361" s="84"/>
      <c r="AS361" s="84"/>
      <c r="AT361" s="84"/>
      <c r="AU361" s="84"/>
      <c r="AV361" s="84"/>
      <c r="AY361" s="84"/>
      <c r="AZ361" s="84"/>
      <c r="BA361" s="84"/>
      <c r="BB361" s="84"/>
      <c r="BC361" s="84"/>
      <c r="BD361" s="84"/>
      <c r="BE361" s="84"/>
      <c r="BF361" s="942"/>
      <c r="BG361" s="942"/>
      <c r="BH361" s="942"/>
      <c r="BI361" s="84"/>
      <c r="BL361" s="84"/>
      <c r="BM361" s="84"/>
      <c r="BN361" s="84"/>
      <c r="BO361" s="84"/>
      <c r="BP361" s="84"/>
      <c r="BQ361" s="84"/>
      <c r="BR361" s="84"/>
      <c r="BS361" s="942"/>
      <c r="BT361" s="942"/>
      <c r="BU361" s="942"/>
      <c r="BV361" s="84"/>
    </row>
    <row r="362" spans="14:74" ht="14.25">
      <c r="N362" s="84"/>
      <c r="O362" s="84"/>
      <c r="P362" s="84"/>
      <c r="Q362" s="84"/>
      <c r="R362" s="84"/>
      <c r="S362" s="84"/>
      <c r="T362" s="84"/>
      <c r="U362" s="84"/>
      <c r="V362" s="84"/>
      <c r="W362" s="84"/>
      <c r="Y362" s="84"/>
      <c r="Z362" s="84"/>
      <c r="AA362" s="84"/>
      <c r="AB362" s="84"/>
      <c r="AC362" s="84"/>
      <c r="AD362" s="84"/>
      <c r="AE362" s="84"/>
      <c r="AF362" s="84"/>
      <c r="AG362" s="84"/>
      <c r="AH362" s="84"/>
      <c r="AI362" s="84"/>
      <c r="AL362" s="84"/>
      <c r="AM362" s="84"/>
      <c r="AN362" s="84"/>
      <c r="AO362" s="84"/>
      <c r="AP362" s="84"/>
      <c r="AQ362" s="84"/>
      <c r="AR362" s="84"/>
      <c r="AS362" s="84"/>
      <c r="AT362" s="84"/>
      <c r="AU362" s="84"/>
      <c r="AV362" s="84"/>
      <c r="AY362" s="84"/>
      <c r="AZ362" s="84"/>
      <c r="BA362" s="84"/>
      <c r="BB362" s="84"/>
      <c r="BC362" s="84"/>
      <c r="BD362" s="84"/>
      <c r="BE362" s="84"/>
      <c r="BF362" s="942"/>
      <c r="BG362" s="942"/>
      <c r="BH362" s="942"/>
      <c r="BI362" s="84"/>
      <c r="BL362" s="84"/>
      <c r="BM362" s="84"/>
      <c r="BN362" s="84"/>
      <c r="BO362" s="84"/>
      <c r="BP362" s="84"/>
      <c r="BQ362" s="84"/>
      <c r="BR362" s="84"/>
      <c r="BS362" s="942"/>
      <c r="BT362" s="942"/>
      <c r="BU362" s="942"/>
      <c r="BV362" s="84"/>
    </row>
    <row r="363" spans="14:74" ht="14.25">
      <c r="N363" s="84"/>
      <c r="O363" s="84"/>
      <c r="P363" s="84"/>
      <c r="Q363" s="84"/>
      <c r="R363" s="84"/>
      <c r="S363" s="84"/>
      <c r="T363" s="84"/>
      <c r="U363" s="84"/>
      <c r="V363" s="84"/>
      <c r="W363" s="84"/>
      <c r="Y363" s="84"/>
      <c r="Z363" s="84"/>
      <c r="AA363" s="84"/>
      <c r="AB363" s="84"/>
      <c r="AC363" s="84"/>
      <c r="AD363" s="84"/>
      <c r="AE363" s="84"/>
      <c r="AF363" s="84"/>
      <c r="AG363" s="84"/>
      <c r="AH363" s="84"/>
      <c r="AI363" s="84"/>
      <c r="AL363" s="84"/>
      <c r="AM363" s="84"/>
      <c r="AN363" s="84"/>
      <c r="AO363" s="84"/>
      <c r="AP363" s="84"/>
      <c r="AQ363" s="84"/>
      <c r="AR363" s="84"/>
      <c r="AS363" s="84"/>
      <c r="AT363" s="84"/>
      <c r="AU363" s="84"/>
      <c r="AV363" s="84"/>
      <c r="AY363" s="84"/>
      <c r="AZ363" s="84"/>
      <c r="BA363" s="84"/>
      <c r="BB363" s="84"/>
      <c r="BC363" s="84"/>
      <c r="BD363" s="84"/>
      <c r="BE363" s="84"/>
      <c r="BF363" s="942"/>
      <c r="BG363" s="942"/>
      <c r="BH363" s="942"/>
      <c r="BI363" s="84"/>
      <c r="BL363" s="84"/>
      <c r="BM363" s="84"/>
      <c r="BN363" s="84"/>
      <c r="BO363" s="84"/>
      <c r="BP363" s="84"/>
      <c r="BQ363" s="84"/>
      <c r="BR363" s="84"/>
      <c r="BS363" s="942"/>
      <c r="BT363" s="942"/>
      <c r="BU363" s="942"/>
      <c r="BV363" s="84"/>
    </row>
    <row r="364" spans="14:74" ht="14.25">
      <c r="N364" s="84"/>
      <c r="O364" s="84"/>
      <c r="P364" s="84"/>
      <c r="Q364" s="84"/>
      <c r="R364" s="84"/>
      <c r="S364" s="84"/>
      <c r="T364" s="84"/>
      <c r="U364" s="84"/>
      <c r="V364" s="84"/>
      <c r="W364" s="84"/>
      <c r="Y364" s="84"/>
      <c r="Z364" s="84"/>
      <c r="AA364" s="84"/>
      <c r="AB364" s="84"/>
      <c r="AC364" s="84"/>
      <c r="AD364" s="84"/>
      <c r="AE364" s="84"/>
      <c r="AF364" s="84"/>
      <c r="AG364" s="84"/>
      <c r="AH364" s="84"/>
      <c r="AI364" s="84"/>
      <c r="AL364" s="84"/>
      <c r="AM364" s="84"/>
      <c r="AN364" s="84"/>
      <c r="AO364" s="84"/>
      <c r="AP364" s="84"/>
      <c r="AQ364" s="84"/>
      <c r="AR364" s="84"/>
      <c r="AS364" s="84"/>
      <c r="AT364" s="84"/>
      <c r="AU364" s="84"/>
      <c r="AV364" s="84"/>
      <c r="AY364" s="84"/>
      <c r="AZ364" s="84"/>
      <c r="BA364" s="84"/>
      <c r="BB364" s="84"/>
      <c r="BC364" s="84"/>
      <c r="BD364" s="84"/>
      <c r="BE364" s="84"/>
      <c r="BF364" s="942"/>
      <c r="BG364" s="942"/>
      <c r="BH364" s="942"/>
      <c r="BI364" s="84"/>
      <c r="BL364" s="84"/>
      <c r="BM364" s="84"/>
      <c r="BN364" s="84"/>
      <c r="BO364" s="84"/>
      <c r="BP364" s="84"/>
      <c r="BQ364" s="84"/>
      <c r="BR364" s="84"/>
      <c r="BS364" s="942"/>
      <c r="BT364" s="942"/>
      <c r="BU364" s="942"/>
      <c r="BV364" s="84"/>
    </row>
    <row r="365" spans="14:74" ht="14.25">
      <c r="N365" s="84"/>
      <c r="O365" s="84"/>
      <c r="P365" s="84"/>
      <c r="Q365" s="84"/>
      <c r="R365" s="84"/>
      <c r="S365" s="84"/>
      <c r="T365" s="84"/>
      <c r="U365" s="84"/>
      <c r="V365" s="84"/>
      <c r="W365" s="84"/>
      <c r="Y365" s="84"/>
      <c r="Z365" s="84"/>
      <c r="AA365" s="84"/>
      <c r="AB365" s="84"/>
      <c r="AC365" s="84"/>
      <c r="AD365" s="84"/>
      <c r="AE365" s="84"/>
      <c r="AF365" s="84"/>
      <c r="AG365" s="84"/>
      <c r="AH365" s="84"/>
      <c r="AI365" s="84"/>
      <c r="AL365" s="84"/>
      <c r="AM365" s="84"/>
      <c r="AN365" s="84"/>
      <c r="AO365" s="84"/>
      <c r="AP365" s="84"/>
      <c r="AQ365" s="84"/>
      <c r="AR365" s="84"/>
      <c r="AS365" s="84"/>
      <c r="AT365" s="84"/>
      <c r="AU365" s="84"/>
      <c r="AV365" s="84"/>
      <c r="AY365" s="84"/>
      <c r="AZ365" s="84"/>
      <c r="BA365" s="84"/>
      <c r="BB365" s="84"/>
      <c r="BC365" s="84"/>
      <c r="BD365" s="84"/>
      <c r="BE365" s="84"/>
      <c r="BF365" s="942"/>
      <c r="BG365" s="942"/>
      <c r="BH365" s="942"/>
      <c r="BI365" s="84"/>
      <c r="BL365" s="84"/>
      <c r="BM365" s="84"/>
      <c r="BN365" s="84"/>
      <c r="BO365" s="84"/>
      <c r="BP365" s="84"/>
      <c r="BQ365" s="84"/>
      <c r="BR365" s="84"/>
      <c r="BS365" s="942"/>
      <c r="BT365" s="942"/>
      <c r="BU365" s="942"/>
      <c r="BV365" s="84"/>
    </row>
    <row r="366" spans="14:74" ht="14.25">
      <c r="N366" s="84"/>
      <c r="O366" s="84"/>
      <c r="P366" s="84"/>
      <c r="Q366" s="84"/>
      <c r="R366" s="84"/>
      <c r="S366" s="84"/>
      <c r="T366" s="84"/>
      <c r="U366" s="84"/>
      <c r="V366" s="84"/>
      <c r="W366" s="84"/>
      <c r="Y366" s="84"/>
      <c r="Z366" s="84"/>
      <c r="AA366" s="84"/>
      <c r="AB366" s="84"/>
      <c r="AC366" s="84"/>
      <c r="AD366" s="84"/>
      <c r="AE366" s="84"/>
      <c r="AF366" s="84"/>
      <c r="AG366" s="84"/>
      <c r="AH366" s="84"/>
      <c r="AI366" s="84"/>
      <c r="AL366" s="84"/>
      <c r="AM366" s="84"/>
      <c r="AN366" s="84"/>
      <c r="AO366" s="84"/>
      <c r="AP366" s="84"/>
      <c r="AQ366" s="84"/>
      <c r="AR366" s="84"/>
      <c r="AS366" s="84"/>
      <c r="AT366" s="84"/>
      <c r="AU366" s="84"/>
      <c r="AV366" s="84"/>
      <c r="AY366" s="84"/>
      <c r="AZ366" s="84"/>
      <c r="BA366" s="84"/>
      <c r="BB366" s="84"/>
      <c r="BC366" s="84"/>
      <c r="BD366" s="84"/>
      <c r="BE366" s="84"/>
      <c r="BF366" s="942"/>
      <c r="BG366" s="942"/>
      <c r="BH366" s="942"/>
      <c r="BI366" s="84"/>
      <c r="BL366" s="84"/>
      <c r="BM366" s="84"/>
      <c r="BN366" s="84"/>
      <c r="BO366" s="84"/>
      <c r="BP366" s="84"/>
      <c r="BQ366" s="84"/>
      <c r="BR366" s="84"/>
      <c r="BS366" s="942"/>
      <c r="BT366" s="942"/>
      <c r="BU366" s="942"/>
      <c r="BV366" s="84"/>
    </row>
    <row r="367" spans="14:74" ht="14.25">
      <c r="N367" s="84"/>
      <c r="O367" s="84"/>
      <c r="P367" s="84"/>
      <c r="Q367" s="84"/>
      <c r="R367" s="84"/>
      <c r="S367" s="84"/>
      <c r="T367" s="84"/>
      <c r="U367" s="84"/>
      <c r="V367" s="84"/>
      <c r="W367" s="84"/>
      <c r="Y367" s="84"/>
      <c r="Z367" s="84"/>
      <c r="AA367" s="84"/>
      <c r="AB367" s="84"/>
      <c r="AC367" s="84"/>
      <c r="AD367" s="84"/>
      <c r="AE367" s="84"/>
      <c r="AF367" s="84"/>
      <c r="AG367" s="84"/>
      <c r="AH367" s="84"/>
      <c r="AI367" s="84"/>
      <c r="AL367" s="84"/>
      <c r="AM367" s="84"/>
      <c r="AN367" s="84"/>
      <c r="AO367" s="84"/>
      <c r="AP367" s="84"/>
      <c r="AQ367" s="84"/>
      <c r="AR367" s="84"/>
      <c r="AS367" s="84"/>
      <c r="AT367" s="84"/>
      <c r="AU367" s="84"/>
      <c r="AV367" s="84"/>
      <c r="AY367" s="84"/>
      <c r="AZ367" s="84"/>
      <c r="BA367" s="84"/>
      <c r="BB367" s="84"/>
      <c r="BC367" s="84"/>
      <c r="BD367" s="84"/>
      <c r="BE367" s="84"/>
      <c r="BF367" s="942"/>
      <c r="BG367" s="942"/>
      <c r="BH367" s="942"/>
      <c r="BI367" s="84"/>
      <c r="BL367" s="84"/>
      <c r="BM367" s="84"/>
      <c r="BN367" s="84"/>
      <c r="BO367" s="84"/>
      <c r="BP367" s="84"/>
      <c r="BQ367" s="84"/>
      <c r="BR367" s="84"/>
      <c r="BS367" s="942"/>
      <c r="BT367" s="942"/>
      <c r="BU367" s="942"/>
      <c r="BV367" s="84"/>
    </row>
    <row r="368" spans="14:74" ht="14.25">
      <c r="N368" s="84"/>
      <c r="O368" s="84"/>
      <c r="P368" s="84"/>
      <c r="Q368" s="84"/>
      <c r="R368" s="84"/>
      <c r="S368" s="84"/>
      <c r="T368" s="84"/>
      <c r="U368" s="84"/>
      <c r="V368" s="84"/>
      <c r="W368" s="84"/>
      <c r="Y368" s="84"/>
      <c r="Z368" s="84"/>
      <c r="AA368" s="84"/>
      <c r="AB368" s="84"/>
      <c r="AC368" s="84"/>
      <c r="AD368" s="84"/>
      <c r="AE368" s="84"/>
      <c r="AF368" s="84"/>
      <c r="AG368" s="84"/>
      <c r="AH368" s="84"/>
      <c r="AI368" s="84"/>
      <c r="AL368" s="84"/>
      <c r="AM368" s="84"/>
      <c r="AN368" s="84"/>
      <c r="AO368" s="84"/>
      <c r="AP368" s="84"/>
      <c r="AQ368" s="84"/>
      <c r="AR368" s="84"/>
      <c r="AS368" s="84"/>
      <c r="AT368" s="84"/>
      <c r="AU368" s="84"/>
      <c r="AV368" s="84"/>
      <c r="AY368" s="84"/>
      <c r="AZ368" s="84"/>
      <c r="BA368" s="84"/>
      <c r="BB368" s="84"/>
      <c r="BC368" s="84"/>
      <c r="BD368" s="84"/>
      <c r="BE368" s="84"/>
      <c r="BF368" s="942"/>
      <c r="BG368" s="942"/>
      <c r="BH368" s="942"/>
      <c r="BI368" s="84"/>
      <c r="BL368" s="84"/>
      <c r="BM368" s="84"/>
      <c r="BN368" s="84"/>
      <c r="BO368" s="84"/>
      <c r="BP368" s="84"/>
      <c r="BQ368" s="84"/>
      <c r="BR368" s="84"/>
      <c r="BS368" s="942"/>
      <c r="BT368" s="942"/>
      <c r="BU368" s="942"/>
      <c r="BV368" s="84"/>
    </row>
    <row r="369" spans="14:74" ht="14.25">
      <c r="N369" s="84"/>
      <c r="O369" s="84"/>
      <c r="P369" s="84"/>
      <c r="Q369" s="84"/>
      <c r="R369" s="84"/>
      <c r="S369" s="84"/>
      <c r="T369" s="84"/>
      <c r="U369" s="84"/>
      <c r="V369" s="84"/>
      <c r="W369" s="84"/>
      <c r="Y369" s="84"/>
      <c r="Z369" s="84"/>
      <c r="AA369" s="84"/>
      <c r="AB369" s="84"/>
      <c r="AC369" s="84"/>
      <c r="AD369" s="84"/>
      <c r="AE369" s="84"/>
      <c r="AF369" s="84"/>
      <c r="AG369" s="84"/>
      <c r="AH369" s="84"/>
      <c r="AI369" s="84"/>
      <c r="AL369" s="84"/>
      <c r="AM369" s="84"/>
      <c r="AN369" s="84"/>
      <c r="AO369" s="84"/>
      <c r="AP369" s="84"/>
      <c r="AQ369" s="84"/>
      <c r="AR369" s="84"/>
      <c r="AS369" s="84"/>
      <c r="AT369" s="84"/>
      <c r="AU369" s="84"/>
      <c r="AV369" s="84"/>
      <c r="AY369" s="84"/>
      <c r="AZ369" s="84"/>
      <c r="BA369" s="84"/>
      <c r="BB369" s="84"/>
      <c r="BC369" s="84"/>
      <c r="BD369" s="84"/>
      <c r="BE369" s="84"/>
      <c r="BF369" s="942"/>
      <c r="BG369" s="942"/>
      <c r="BH369" s="942"/>
      <c r="BI369" s="84"/>
      <c r="BL369" s="84"/>
      <c r="BM369" s="84"/>
      <c r="BN369" s="84"/>
      <c r="BO369" s="84"/>
      <c r="BP369" s="84"/>
      <c r="BQ369" s="84"/>
      <c r="BR369" s="84"/>
      <c r="BS369" s="942"/>
      <c r="BT369" s="942"/>
      <c r="BU369" s="942"/>
      <c r="BV369" s="84"/>
    </row>
    <row r="370" spans="14:74" ht="14.25">
      <c r="N370" s="84"/>
      <c r="O370" s="84"/>
      <c r="P370" s="84"/>
      <c r="Q370" s="84"/>
      <c r="R370" s="84"/>
      <c r="S370" s="84"/>
      <c r="T370" s="84"/>
      <c r="U370" s="84"/>
      <c r="V370" s="84"/>
      <c r="W370" s="84"/>
      <c r="Y370" s="84"/>
      <c r="Z370" s="84"/>
      <c r="AA370" s="84"/>
      <c r="AB370" s="84"/>
      <c r="AC370" s="84"/>
      <c r="AD370" s="84"/>
      <c r="AE370" s="84"/>
      <c r="AF370" s="84"/>
      <c r="AG370" s="84"/>
      <c r="AH370" s="84"/>
      <c r="AI370" s="84"/>
      <c r="AL370" s="84"/>
      <c r="AM370" s="84"/>
      <c r="AN370" s="84"/>
      <c r="AO370" s="84"/>
      <c r="AP370" s="84"/>
      <c r="AQ370" s="84"/>
      <c r="AR370" s="84"/>
      <c r="AS370" s="84"/>
      <c r="AT370" s="84"/>
      <c r="AU370" s="84"/>
      <c r="AV370" s="84"/>
      <c r="AY370" s="84"/>
      <c r="AZ370" s="84"/>
      <c r="BA370" s="84"/>
      <c r="BB370" s="84"/>
      <c r="BC370" s="84"/>
      <c r="BD370" s="84"/>
      <c r="BE370" s="84"/>
      <c r="BF370" s="942"/>
      <c r="BG370" s="942"/>
      <c r="BH370" s="942"/>
      <c r="BI370" s="84"/>
      <c r="BL370" s="84"/>
      <c r="BM370" s="84"/>
      <c r="BN370" s="84"/>
      <c r="BO370" s="84"/>
      <c r="BP370" s="84"/>
      <c r="BQ370" s="84"/>
      <c r="BR370" s="84"/>
      <c r="BS370" s="942"/>
      <c r="BT370" s="942"/>
      <c r="BU370" s="942"/>
      <c r="BV370" s="84"/>
    </row>
    <row r="371" spans="14:74" ht="14.25">
      <c r="N371" s="84"/>
      <c r="O371" s="84"/>
      <c r="P371" s="84"/>
      <c r="Q371" s="84"/>
      <c r="R371" s="84"/>
      <c r="S371" s="84"/>
      <c r="T371" s="84"/>
      <c r="U371" s="84"/>
      <c r="V371" s="84"/>
      <c r="W371" s="84"/>
      <c r="Y371" s="84"/>
      <c r="Z371" s="84"/>
      <c r="AA371" s="84"/>
      <c r="AB371" s="84"/>
      <c r="AC371" s="84"/>
      <c r="AD371" s="84"/>
      <c r="AE371" s="84"/>
      <c r="AF371" s="84"/>
      <c r="AG371" s="84"/>
      <c r="AH371" s="84"/>
      <c r="AI371" s="84"/>
      <c r="AL371" s="84"/>
      <c r="AM371" s="84"/>
      <c r="AN371" s="84"/>
      <c r="AO371" s="84"/>
      <c r="AP371" s="84"/>
      <c r="AQ371" s="84"/>
      <c r="AR371" s="84"/>
      <c r="AS371" s="84"/>
      <c r="AT371" s="84"/>
      <c r="AU371" s="84"/>
      <c r="AV371" s="84"/>
      <c r="AY371" s="84"/>
      <c r="AZ371" s="84"/>
      <c r="BA371" s="84"/>
      <c r="BB371" s="84"/>
      <c r="BC371" s="84"/>
      <c r="BD371" s="84"/>
      <c r="BE371" s="84"/>
      <c r="BF371" s="942"/>
      <c r="BG371" s="942"/>
      <c r="BH371" s="942"/>
      <c r="BI371" s="84"/>
      <c r="BL371" s="84"/>
      <c r="BM371" s="84"/>
      <c r="BN371" s="84"/>
      <c r="BO371" s="84"/>
      <c r="BP371" s="84"/>
      <c r="BQ371" s="84"/>
      <c r="BR371" s="84"/>
      <c r="BS371" s="942"/>
      <c r="BT371" s="942"/>
      <c r="BU371" s="942"/>
      <c r="BV371" s="84"/>
    </row>
    <row r="372" spans="14:74" ht="14.25">
      <c r="N372" s="84"/>
      <c r="O372" s="84"/>
      <c r="P372" s="84"/>
      <c r="Q372" s="84"/>
      <c r="R372" s="84"/>
      <c r="S372" s="84"/>
      <c r="T372" s="84"/>
      <c r="U372" s="84"/>
      <c r="V372" s="84"/>
      <c r="W372" s="84"/>
      <c r="Y372" s="84"/>
      <c r="Z372" s="84"/>
      <c r="AA372" s="84"/>
      <c r="AB372" s="84"/>
      <c r="AC372" s="84"/>
      <c r="AD372" s="84"/>
      <c r="AE372" s="84"/>
      <c r="AF372" s="84"/>
      <c r="AG372" s="84"/>
      <c r="AH372" s="84"/>
      <c r="AI372" s="84"/>
      <c r="AL372" s="84"/>
      <c r="AM372" s="84"/>
      <c r="AN372" s="84"/>
      <c r="AO372" s="84"/>
      <c r="AP372" s="84"/>
      <c r="AQ372" s="84"/>
      <c r="AR372" s="84"/>
      <c r="AS372" s="84"/>
      <c r="AT372" s="84"/>
      <c r="AU372" s="84"/>
      <c r="AV372" s="84"/>
      <c r="AY372" s="84"/>
      <c r="AZ372" s="84"/>
      <c r="BA372" s="84"/>
      <c r="BB372" s="84"/>
      <c r="BC372" s="84"/>
      <c r="BD372" s="84"/>
      <c r="BE372" s="84"/>
      <c r="BF372" s="942"/>
      <c r="BG372" s="942"/>
      <c r="BH372" s="942"/>
      <c r="BI372" s="84"/>
      <c r="BL372" s="84"/>
      <c r="BM372" s="84"/>
      <c r="BN372" s="84"/>
      <c r="BO372" s="84"/>
      <c r="BP372" s="84"/>
      <c r="BQ372" s="84"/>
      <c r="BR372" s="84"/>
      <c r="BS372" s="942"/>
      <c r="BT372" s="942"/>
      <c r="BU372" s="942"/>
      <c r="BV372" s="84"/>
    </row>
    <row r="373" spans="14:74" ht="14.25">
      <c r="N373" s="84"/>
      <c r="O373" s="84"/>
      <c r="P373" s="84"/>
      <c r="Q373" s="84"/>
      <c r="R373" s="84"/>
      <c r="S373" s="84"/>
      <c r="T373" s="84"/>
      <c r="U373" s="84"/>
      <c r="V373" s="84"/>
      <c r="W373" s="84"/>
      <c r="Y373" s="84"/>
      <c r="Z373" s="84"/>
      <c r="AA373" s="84"/>
      <c r="AB373" s="84"/>
      <c r="AC373" s="84"/>
      <c r="AD373" s="84"/>
      <c r="AE373" s="84"/>
      <c r="AF373" s="84"/>
      <c r="AG373" s="84"/>
      <c r="AH373" s="84"/>
      <c r="AI373" s="84"/>
      <c r="AL373" s="84"/>
      <c r="AM373" s="84"/>
      <c r="AN373" s="84"/>
      <c r="AO373" s="84"/>
      <c r="AP373" s="84"/>
      <c r="AQ373" s="84"/>
      <c r="AR373" s="84"/>
      <c r="AS373" s="84"/>
      <c r="AT373" s="84"/>
      <c r="AU373" s="84"/>
      <c r="AV373" s="84"/>
      <c r="AY373" s="84"/>
      <c r="AZ373" s="84"/>
      <c r="BA373" s="84"/>
      <c r="BB373" s="84"/>
      <c r="BC373" s="84"/>
      <c r="BD373" s="84"/>
      <c r="BE373" s="84"/>
      <c r="BF373" s="942"/>
      <c r="BG373" s="942"/>
      <c r="BH373" s="942"/>
      <c r="BI373" s="84"/>
      <c r="BL373" s="84"/>
      <c r="BM373" s="84"/>
      <c r="BN373" s="84"/>
      <c r="BO373" s="84"/>
      <c r="BP373" s="84"/>
      <c r="BQ373" s="84"/>
      <c r="BR373" s="84"/>
      <c r="BS373" s="942"/>
      <c r="BT373" s="942"/>
      <c r="BU373" s="942"/>
      <c r="BV373" s="84"/>
    </row>
    <row r="374" spans="14:74" ht="14.25">
      <c r="N374" s="84"/>
      <c r="O374" s="84"/>
      <c r="P374" s="84"/>
      <c r="Q374" s="84"/>
      <c r="R374" s="84"/>
      <c r="S374" s="84"/>
      <c r="T374" s="84"/>
      <c r="U374" s="84"/>
      <c r="V374" s="84"/>
      <c r="W374" s="84"/>
      <c r="Y374" s="84"/>
      <c r="Z374" s="84"/>
      <c r="AA374" s="84"/>
      <c r="AB374" s="84"/>
      <c r="AC374" s="84"/>
      <c r="AD374" s="84"/>
      <c r="AE374" s="84"/>
      <c r="AF374" s="84"/>
      <c r="AG374" s="84"/>
      <c r="AH374" s="84"/>
      <c r="AI374" s="84"/>
      <c r="AL374" s="84"/>
      <c r="AM374" s="84"/>
      <c r="AN374" s="84"/>
      <c r="AO374" s="84"/>
      <c r="AP374" s="84"/>
      <c r="AQ374" s="84"/>
      <c r="AR374" s="84"/>
      <c r="AS374" s="84"/>
      <c r="AT374" s="84"/>
      <c r="AU374" s="84"/>
      <c r="AV374" s="84"/>
      <c r="AY374" s="84"/>
      <c r="AZ374" s="84"/>
      <c r="BA374" s="84"/>
      <c r="BB374" s="84"/>
      <c r="BC374" s="84"/>
      <c r="BD374" s="84"/>
      <c r="BE374" s="84"/>
      <c r="BF374" s="942"/>
      <c r="BG374" s="942"/>
      <c r="BH374" s="942"/>
      <c r="BI374" s="84"/>
      <c r="BL374" s="84"/>
      <c r="BM374" s="84"/>
      <c r="BN374" s="84"/>
      <c r="BO374" s="84"/>
      <c r="BP374" s="84"/>
      <c r="BQ374" s="84"/>
      <c r="BR374" s="84"/>
      <c r="BS374" s="942"/>
      <c r="BT374" s="942"/>
      <c r="BU374" s="942"/>
      <c r="BV374" s="84"/>
    </row>
    <row r="375" spans="14:74" ht="14.25">
      <c r="N375" s="84"/>
      <c r="O375" s="84"/>
      <c r="P375" s="84"/>
      <c r="Q375" s="84"/>
      <c r="R375" s="84"/>
      <c r="S375" s="84"/>
      <c r="T375" s="84"/>
      <c r="U375" s="84"/>
      <c r="V375" s="84"/>
      <c r="W375" s="84"/>
      <c r="Y375" s="84"/>
      <c r="Z375" s="84"/>
      <c r="AA375" s="84"/>
      <c r="AB375" s="84"/>
      <c r="AC375" s="84"/>
      <c r="AD375" s="84"/>
      <c r="AE375" s="84"/>
      <c r="AF375" s="84"/>
      <c r="AG375" s="84"/>
      <c r="AH375" s="84"/>
      <c r="AI375" s="84"/>
      <c r="AL375" s="84"/>
      <c r="AM375" s="84"/>
      <c r="AN375" s="84"/>
      <c r="AO375" s="84"/>
      <c r="AP375" s="84"/>
      <c r="AQ375" s="84"/>
      <c r="AR375" s="84"/>
      <c r="AS375" s="84"/>
      <c r="AT375" s="84"/>
      <c r="AU375" s="84"/>
      <c r="AV375" s="84"/>
      <c r="AY375" s="84"/>
      <c r="AZ375" s="84"/>
      <c r="BA375" s="84"/>
      <c r="BB375" s="84"/>
      <c r="BC375" s="84"/>
      <c r="BD375" s="84"/>
      <c r="BE375" s="84"/>
      <c r="BF375" s="942"/>
      <c r="BG375" s="942"/>
      <c r="BH375" s="942"/>
      <c r="BI375" s="84"/>
      <c r="BL375" s="84"/>
      <c r="BM375" s="84"/>
      <c r="BN375" s="84"/>
      <c r="BO375" s="84"/>
      <c r="BP375" s="84"/>
      <c r="BQ375" s="84"/>
      <c r="BR375" s="84"/>
      <c r="BS375" s="942"/>
      <c r="BT375" s="942"/>
      <c r="BU375" s="942"/>
      <c r="BV375" s="84"/>
    </row>
    <row r="376" spans="14:74" ht="14.25">
      <c r="N376" s="84"/>
      <c r="O376" s="84"/>
      <c r="P376" s="84"/>
      <c r="Q376" s="84"/>
      <c r="R376" s="84"/>
      <c r="S376" s="84"/>
      <c r="T376" s="84"/>
      <c r="U376" s="84"/>
      <c r="V376" s="84"/>
      <c r="W376" s="84"/>
      <c r="Y376" s="84"/>
      <c r="Z376" s="84"/>
      <c r="AA376" s="84"/>
      <c r="AB376" s="84"/>
      <c r="AC376" s="84"/>
      <c r="AD376" s="84"/>
      <c r="AE376" s="84"/>
      <c r="AF376" s="84"/>
      <c r="AG376" s="84"/>
      <c r="AH376" s="84"/>
      <c r="AI376" s="84"/>
      <c r="AL376" s="84"/>
      <c r="AM376" s="84"/>
      <c r="AN376" s="84"/>
      <c r="AO376" s="84"/>
      <c r="AP376" s="84"/>
      <c r="AQ376" s="84"/>
      <c r="AR376" s="84"/>
      <c r="AS376" s="84"/>
      <c r="AT376" s="84"/>
      <c r="AU376" s="84"/>
      <c r="AV376" s="84"/>
      <c r="AY376" s="84"/>
      <c r="AZ376" s="84"/>
      <c r="BA376" s="84"/>
      <c r="BB376" s="84"/>
      <c r="BC376" s="84"/>
      <c r="BD376" s="84"/>
      <c r="BE376" s="84"/>
      <c r="BF376" s="942"/>
      <c r="BG376" s="942"/>
      <c r="BH376" s="942"/>
      <c r="BI376" s="84"/>
      <c r="BL376" s="84"/>
      <c r="BM376" s="84"/>
      <c r="BN376" s="84"/>
      <c r="BO376" s="84"/>
      <c r="BP376" s="84"/>
      <c r="BQ376" s="84"/>
      <c r="BR376" s="84"/>
      <c r="BS376" s="942"/>
      <c r="BT376" s="942"/>
      <c r="BU376" s="942"/>
      <c r="BV376" s="84"/>
    </row>
    <row r="377" spans="14:74" ht="14.25">
      <c r="N377" s="84"/>
      <c r="O377" s="84"/>
      <c r="P377" s="84"/>
      <c r="Q377" s="84"/>
      <c r="R377" s="84"/>
      <c r="S377" s="84"/>
      <c r="T377" s="84"/>
      <c r="U377" s="84"/>
      <c r="V377" s="84"/>
      <c r="W377" s="84"/>
      <c r="Y377" s="84"/>
      <c r="Z377" s="84"/>
      <c r="AA377" s="84"/>
      <c r="AB377" s="84"/>
      <c r="AC377" s="84"/>
      <c r="AD377" s="84"/>
      <c r="AE377" s="84"/>
      <c r="AF377" s="84"/>
      <c r="AG377" s="84"/>
      <c r="AH377" s="84"/>
      <c r="AI377" s="84"/>
      <c r="AL377" s="84"/>
      <c r="AM377" s="84"/>
      <c r="AN377" s="84"/>
      <c r="AO377" s="84"/>
      <c r="AP377" s="84"/>
      <c r="AQ377" s="84"/>
      <c r="AR377" s="84"/>
      <c r="AS377" s="84"/>
      <c r="AT377" s="84"/>
      <c r="AU377" s="84"/>
      <c r="AV377" s="84"/>
      <c r="AY377" s="84"/>
      <c r="AZ377" s="84"/>
      <c r="BA377" s="84"/>
      <c r="BB377" s="84"/>
      <c r="BC377" s="84"/>
      <c r="BD377" s="84"/>
      <c r="BE377" s="84"/>
      <c r="BF377" s="942"/>
      <c r="BG377" s="942"/>
      <c r="BH377" s="942"/>
      <c r="BI377" s="84"/>
      <c r="BL377" s="84"/>
      <c r="BM377" s="84"/>
      <c r="BN377" s="84"/>
      <c r="BO377" s="84"/>
      <c r="BP377" s="84"/>
      <c r="BQ377" s="84"/>
      <c r="BR377" s="84"/>
      <c r="BS377" s="942"/>
      <c r="BT377" s="942"/>
      <c r="BU377" s="942"/>
      <c r="BV377" s="84"/>
    </row>
    <row r="378" spans="14:74" ht="14.25">
      <c r="N378" s="84"/>
      <c r="O378" s="84"/>
      <c r="P378" s="84"/>
      <c r="Q378" s="84"/>
      <c r="R378" s="84"/>
      <c r="S378" s="84"/>
      <c r="T378" s="84"/>
      <c r="U378" s="84"/>
      <c r="V378" s="84"/>
      <c r="W378" s="84"/>
      <c r="Y378" s="84"/>
      <c r="Z378" s="84"/>
      <c r="AA378" s="84"/>
      <c r="AB378" s="84"/>
      <c r="AC378" s="84"/>
      <c r="AD378" s="84"/>
      <c r="AE378" s="84"/>
      <c r="AF378" s="84"/>
      <c r="AG378" s="84"/>
      <c r="AH378" s="84"/>
      <c r="AI378" s="84"/>
      <c r="AL378" s="84"/>
      <c r="AM378" s="84"/>
      <c r="AN378" s="84"/>
      <c r="AO378" s="84"/>
      <c r="AP378" s="84"/>
      <c r="AQ378" s="84"/>
      <c r="AR378" s="84"/>
      <c r="AS378" s="84"/>
      <c r="AT378" s="84"/>
      <c r="AU378" s="84"/>
      <c r="AV378" s="84"/>
      <c r="AY378" s="84"/>
      <c r="AZ378" s="84"/>
      <c r="BA378" s="84"/>
      <c r="BB378" s="84"/>
      <c r="BC378" s="84"/>
      <c r="BD378" s="84"/>
      <c r="BE378" s="84"/>
      <c r="BF378" s="942"/>
      <c r="BG378" s="942"/>
      <c r="BH378" s="942"/>
      <c r="BI378" s="84"/>
      <c r="BL378" s="84"/>
      <c r="BM378" s="84"/>
      <c r="BN378" s="84"/>
      <c r="BO378" s="84"/>
      <c r="BP378" s="84"/>
      <c r="BQ378" s="84"/>
      <c r="BR378" s="84"/>
      <c r="BS378" s="942"/>
      <c r="BT378" s="942"/>
      <c r="BU378" s="942"/>
      <c r="BV378" s="84"/>
    </row>
    <row r="379" spans="14:74" ht="14.25">
      <c r="N379" s="84"/>
      <c r="O379" s="84"/>
      <c r="P379" s="84"/>
      <c r="Q379" s="84"/>
      <c r="R379" s="84"/>
      <c r="S379" s="84"/>
      <c r="T379" s="84"/>
      <c r="U379" s="84"/>
      <c r="V379" s="84"/>
      <c r="W379" s="84"/>
      <c r="Y379" s="84"/>
      <c r="Z379" s="84"/>
      <c r="AA379" s="84"/>
      <c r="AB379" s="84"/>
      <c r="AC379" s="84"/>
      <c r="AD379" s="84"/>
      <c r="AE379" s="84"/>
      <c r="AF379" s="84"/>
      <c r="AG379" s="84"/>
      <c r="AH379" s="84"/>
      <c r="AI379" s="84"/>
      <c r="AL379" s="84"/>
      <c r="AM379" s="84"/>
      <c r="AN379" s="84"/>
      <c r="AO379" s="84"/>
      <c r="AP379" s="84"/>
      <c r="AQ379" s="84"/>
      <c r="AR379" s="84"/>
      <c r="AS379" s="84"/>
      <c r="AT379" s="84"/>
      <c r="AU379" s="84"/>
      <c r="AV379" s="84"/>
      <c r="AY379" s="84"/>
      <c r="AZ379" s="84"/>
      <c r="BA379" s="84"/>
      <c r="BB379" s="84"/>
      <c r="BC379" s="84"/>
      <c r="BD379" s="84"/>
      <c r="BE379" s="84"/>
      <c r="BF379" s="942"/>
      <c r="BG379" s="942"/>
      <c r="BH379" s="942"/>
      <c r="BI379" s="84"/>
      <c r="BL379" s="84"/>
      <c r="BM379" s="84"/>
      <c r="BN379" s="84"/>
      <c r="BO379" s="84"/>
      <c r="BP379" s="84"/>
      <c r="BQ379" s="84"/>
      <c r="BR379" s="84"/>
      <c r="BS379" s="942"/>
      <c r="BT379" s="942"/>
      <c r="BU379" s="942"/>
      <c r="BV379" s="84"/>
    </row>
    <row r="380" spans="14:74" ht="14.25">
      <c r="N380" s="84"/>
      <c r="O380" s="84"/>
      <c r="P380" s="84"/>
      <c r="Q380" s="84"/>
      <c r="R380" s="84"/>
      <c r="S380" s="84"/>
      <c r="T380" s="84"/>
      <c r="U380" s="84"/>
      <c r="V380" s="84"/>
      <c r="W380" s="84"/>
      <c r="Y380" s="84"/>
      <c r="Z380" s="84"/>
      <c r="AA380" s="84"/>
      <c r="AB380" s="84"/>
      <c r="AC380" s="84"/>
      <c r="AD380" s="84"/>
      <c r="AE380" s="84"/>
      <c r="AF380" s="84"/>
      <c r="AG380" s="84"/>
      <c r="AH380" s="84"/>
      <c r="AI380" s="84"/>
      <c r="AL380" s="84"/>
      <c r="AM380" s="84"/>
      <c r="AN380" s="84"/>
      <c r="AO380" s="84"/>
      <c r="AP380" s="84"/>
      <c r="AQ380" s="84"/>
      <c r="AR380" s="84"/>
      <c r="AS380" s="84"/>
      <c r="AT380" s="84"/>
      <c r="AU380" s="84"/>
      <c r="AV380" s="84"/>
      <c r="AY380" s="84"/>
      <c r="AZ380" s="84"/>
      <c r="BA380" s="84"/>
      <c r="BB380" s="84"/>
      <c r="BC380" s="84"/>
      <c r="BD380" s="84"/>
      <c r="BE380" s="84"/>
      <c r="BF380" s="942"/>
      <c r="BG380" s="942"/>
      <c r="BH380" s="942"/>
      <c r="BI380" s="84"/>
      <c r="BL380" s="84"/>
      <c r="BM380" s="84"/>
      <c r="BN380" s="84"/>
      <c r="BO380" s="84"/>
      <c r="BP380" s="84"/>
      <c r="BQ380" s="84"/>
      <c r="BR380" s="84"/>
      <c r="BS380" s="942"/>
      <c r="BT380" s="942"/>
      <c r="BU380" s="942"/>
      <c r="BV380" s="84"/>
    </row>
    <row r="381" spans="14:74" ht="14.25">
      <c r="N381" s="84"/>
      <c r="O381" s="84"/>
      <c r="P381" s="84"/>
      <c r="Q381" s="84"/>
      <c r="R381" s="84"/>
      <c r="S381" s="84"/>
      <c r="T381" s="84"/>
      <c r="U381" s="84"/>
      <c r="V381" s="84"/>
      <c r="W381" s="84"/>
      <c r="Y381" s="84"/>
      <c r="Z381" s="84"/>
      <c r="AA381" s="84"/>
      <c r="AB381" s="84"/>
      <c r="AC381" s="84"/>
      <c r="AD381" s="84"/>
      <c r="AE381" s="84"/>
      <c r="AF381" s="84"/>
      <c r="AG381" s="84"/>
      <c r="AH381" s="84"/>
      <c r="AI381" s="84"/>
      <c r="AL381" s="84"/>
      <c r="AM381" s="84"/>
      <c r="AN381" s="84"/>
      <c r="AO381" s="84"/>
      <c r="AP381" s="84"/>
      <c r="AQ381" s="84"/>
      <c r="AR381" s="84"/>
      <c r="AS381" s="84"/>
      <c r="AT381" s="84"/>
      <c r="AU381" s="84"/>
      <c r="AV381" s="84"/>
      <c r="AY381" s="84"/>
      <c r="AZ381" s="84"/>
      <c r="BA381" s="84"/>
      <c r="BB381" s="84"/>
      <c r="BC381" s="84"/>
      <c r="BD381" s="84"/>
      <c r="BE381" s="84"/>
      <c r="BF381" s="942"/>
      <c r="BG381" s="942"/>
      <c r="BH381" s="942"/>
      <c r="BI381" s="84"/>
      <c r="BL381" s="84"/>
      <c r="BM381" s="84"/>
      <c r="BN381" s="84"/>
      <c r="BO381" s="84"/>
      <c r="BP381" s="84"/>
      <c r="BQ381" s="84"/>
      <c r="BR381" s="84"/>
      <c r="BS381" s="942"/>
      <c r="BT381" s="942"/>
      <c r="BU381" s="942"/>
      <c r="BV381" s="84"/>
    </row>
    <row r="382" spans="14:74" ht="14.25">
      <c r="N382" s="84"/>
      <c r="O382" s="84"/>
      <c r="P382" s="84"/>
      <c r="Q382" s="84"/>
      <c r="R382" s="84"/>
      <c r="S382" s="84"/>
      <c r="T382" s="84"/>
      <c r="U382" s="84"/>
      <c r="V382" s="84"/>
      <c r="W382" s="84"/>
      <c r="Y382" s="84"/>
      <c r="Z382" s="84"/>
      <c r="AA382" s="84"/>
      <c r="AB382" s="84"/>
      <c r="AC382" s="84"/>
      <c r="AD382" s="84"/>
      <c r="AE382" s="84"/>
      <c r="AF382" s="84"/>
      <c r="AG382" s="84"/>
      <c r="AH382" s="84"/>
      <c r="AI382" s="84"/>
      <c r="AL382" s="84"/>
      <c r="AM382" s="84"/>
      <c r="AN382" s="84"/>
      <c r="AO382" s="84"/>
      <c r="AP382" s="84"/>
      <c r="AQ382" s="84"/>
      <c r="AR382" s="84"/>
      <c r="AS382" s="84"/>
      <c r="AT382" s="84"/>
      <c r="AU382" s="84"/>
      <c r="AV382" s="84"/>
      <c r="AY382" s="84"/>
      <c r="AZ382" s="84"/>
      <c r="BA382" s="84"/>
      <c r="BB382" s="84"/>
      <c r="BC382" s="84"/>
      <c r="BD382" s="84"/>
      <c r="BE382" s="84"/>
      <c r="BF382" s="942"/>
      <c r="BG382" s="942"/>
      <c r="BH382" s="942"/>
      <c r="BI382" s="84"/>
      <c r="BL382" s="84"/>
      <c r="BM382" s="84"/>
      <c r="BN382" s="84"/>
      <c r="BO382" s="84"/>
      <c r="BP382" s="84"/>
      <c r="BQ382" s="84"/>
      <c r="BR382" s="84"/>
      <c r="BS382" s="942"/>
      <c r="BT382" s="942"/>
      <c r="BU382" s="942"/>
      <c r="BV382" s="84"/>
    </row>
    <row r="383" spans="14:74" ht="14.25">
      <c r="N383" s="84"/>
      <c r="O383" s="84"/>
      <c r="P383" s="84"/>
      <c r="Q383" s="84"/>
      <c r="R383" s="84"/>
      <c r="S383" s="84"/>
      <c r="T383" s="84"/>
      <c r="U383" s="84"/>
      <c r="V383" s="84"/>
      <c r="W383" s="84"/>
      <c r="Y383" s="84"/>
      <c r="Z383" s="84"/>
      <c r="AA383" s="84"/>
      <c r="AB383" s="84"/>
      <c r="AC383" s="84"/>
      <c r="AD383" s="84"/>
      <c r="AE383" s="84"/>
      <c r="AF383" s="84"/>
      <c r="AG383" s="84"/>
      <c r="AH383" s="84"/>
      <c r="AI383" s="84"/>
      <c r="AL383" s="84"/>
      <c r="AM383" s="84"/>
      <c r="AN383" s="84"/>
      <c r="AO383" s="84"/>
      <c r="AP383" s="84"/>
      <c r="AQ383" s="84"/>
      <c r="AR383" s="84"/>
      <c r="AS383" s="84"/>
      <c r="AT383" s="84"/>
      <c r="AU383" s="84"/>
      <c r="AV383" s="84"/>
      <c r="AY383" s="84"/>
      <c r="AZ383" s="84"/>
      <c r="BA383" s="84"/>
      <c r="BB383" s="84"/>
      <c r="BC383" s="84"/>
      <c r="BD383" s="84"/>
      <c r="BE383" s="84"/>
      <c r="BF383" s="942"/>
      <c r="BG383" s="942"/>
      <c r="BH383" s="942"/>
      <c r="BI383" s="84"/>
      <c r="BL383" s="84"/>
      <c r="BM383" s="84"/>
      <c r="BN383" s="84"/>
      <c r="BO383" s="84"/>
      <c r="BP383" s="84"/>
      <c r="BQ383" s="84"/>
      <c r="BR383" s="84"/>
      <c r="BS383" s="942"/>
      <c r="BT383" s="942"/>
      <c r="BU383" s="942"/>
      <c r="BV383" s="84"/>
    </row>
    <row r="384" spans="14:74" ht="14.25">
      <c r="N384" s="84"/>
      <c r="O384" s="84"/>
      <c r="P384" s="84"/>
      <c r="Q384" s="84"/>
      <c r="R384" s="84"/>
      <c r="S384" s="84"/>
      <c r="T384" s="84"/>
      <c r="U384" s="84"/>
      <c r="V384" s="84"/>
      <c r="W384" s="84"/>
      <c r="Y384" s="84"/>
      <c r="Z384" s="84"/>
      <c r="AA384" s="84"/>
      <c r="AB384" s="84"/>
      <c r="AC384" s="84"/>
      <c r="AD384" s="84"/>
      <c r="AE384" s="84"/>
      <c r="AF384" s="84"/>
      <c r="AG384" s="84"/>
      <c r="AH384" s="84"/>
      <c r="AI384" s="84"/>
      <c r="AL384" s="84"/>
      <c r="AM384" s="84"/>
      <c r="AN384" s="84"/>
      <c r="AO384" s="84"/>
      <c r="AP384" s="84"/>
      <c r="AQ384" s="84"/>
      <c r="AR384" s="84"/>
      <c r="AS384" s="84"/>
      <c r="AT384" s="84"/>
      <c r="AU384" s="84"/>
      <c r="AV384" s="84"/>
      <c r="AY384" s="84"/>
      <c r="AZ384" s="84"/>
      <c r="BA384" s="84"/>
      <c r="BB384" s="84"/>
      <c r="BC384" s="84"/>
      <c r="BD384" s="84"/>
      <c r="BE384" s="84"/>
      <c r="BF384" s="942"/>
      <c r="BG384" s="942"/>
      <c r="BH384" s="942"/>
      <c r="BI384" s="84"/>
      <c r="BL384" s="84"/>
      <c r="BM384" s="84"/>
      <c r="BN384" s="84"/>
      <c r="BO384" s="84"/>
      <c r="BP384" s="84"/>
      <c r="BQ384" s="84"/>
      <c r="BR384" s="84"/>
      <c r="BS384" s="942"/>
      <c r="BT384" s="942"/>
      <c r="BU384" s="942"/>
      <c r="BV384" s="84"/>
    </row>
    <row r="385" spans="14:74" ht="14.25">
      <c r="N385" s="84"/>
      <c r="O385" s="84"/>
      <c r="P385" s="84"/>
      <c r="Q385" s="84"/>
      <c r="R385" s="84"/>
      <c r="S385" s="84"/>
      <c r="T385" s="84"/>
      <c r="U385" s="84"/>
      <c r="V385" s="84"/>
      <c r="W385" s="84"/>
      <c r="Y385" s="84"/>
      <c r="Z385" s="84"/>
      <c r="AA385" s="84"/>
      <c r="AB385" s="84"/>
      <c r="AC385" s="84"/>
      <c r="AD385" s="84"/>
      <c r="AE385" s="84"/>
      <c r="AF385" s="84"/>
      <c r="AG385" s="84"/>
      <c r="AH385" s="84"/>
      <c r="AI385" s="84"/>
      <c r="AL385" s="84"/>
      <c r="AM385" s="84"/>
      <c r="AN385" s="84"/>
      <c r="AO385" s="84"/>
      <c r="AP385" s="84"/>
      <c r="AQ385" s="84"/>
      <c r="AR385" s="84"/>
      <c r="AS385" s="84"/>
      <c r="AT385" s="84"/>
      <c r="AU385" s="84"/>
      <c r="AV385" s="84"/>
      <c r="AY385" s="84"/>
      <c r="AZ385" s="84"/>
      <c r="BA385" s="84"/>
      <c r="BB385" s="84"/>
      <c r="BC385" s="84"/>
      <c r="BD385" s="84"/>
      <c r="BE385" s="84"/>
      <c r="BF385" s="942"/>
      <c r="BG385" s="942"/>
      <c r="BH385" s="942"/>
      <c r="BI385" s="84"/>
      <c r="BL385" s="84"/>
      <c r="BM385" s="84"/>
      <c r="BN385" s="84"/>
      <c r="BO385" s="84"/>
      <c r="BP385" s="84"/>
      <c r="BQ385" s="84"/>
      <c r="BR385" s="84"/>
      <c r="BS385" s="942"/>
      <c r="BT385" s="942"/>
      <c r="BU385" s="942"/>
      <c r="BV385" s="84"/>
    </row>
    <row r="386" spans="14:74" ht="14.25">
      <c r="N386" s="84"/>
      <c r="O386" s="84"/>
      <c r="P386" s="84"/>
      <c r="Q386" s="84"/>
      <c r="R386" s="84"/>
      <c r="S386" s="84"/>
      <c r="T386" s="84"/>
      <c r="U386" s="84"/>
      <c r="V386" s="84"/>
      <c r="W386" s="84"/>
      <c r="Y386" s="84"/>
      <c r="Z386" s="84"/>
      <c r="AA386" s="84"/>
      <c r="AB386" s="84"/>
      <c r="AC386" s="84"/>
      <c r="AD386" s="84"/>
      <c r="AE386" s="84"/>
      <c r="AF386" s="84"/>
      <c r="AG386" s="84"/>
      <c r="AH386" s="84"/>
      <c r="AI386" s="84"/>
      <c r="AL386" s="84"/>
      <c r="AM386" s="84"/>
      <c r="AN386" s="84"/>
      <c r="AO386" s="84"/>
      <c r="AP386" s="84"/>
      <c r="AQ386" s="84"/>
      <c r="AR386" s="84"/>
      <c r="AS386" s="84"/>
      <c r="AT386" s="84"/>
      <c r="AU386" s="84"/>
      <c r="AV386" s="84"/>
      <c r="AY386" s="84"/>
      <c r="AZ386" s="84"/>
      <c r="BA386" s="84"/>
      <c r="BB386" s="84"/>
      <c r="BC386" s="84"/>
      <c r="BD386" s="84"/>
      <c r="BE386" s="84"/>
      <c r="BF386" s="942"/>
      <c r="BG386" s="942"/>
      <c r="BH386" s="942"/>
      <c r="BI386" s="84"/>
      <c r="BL386" s="84"/>
      <c r="BM386" s="84"/>
      <c r="BN386" s="84"/>
      <c r="BO386" s="84"/>
      <c r="BP386" s="84"/>
      <c r="BQ386" s="84"/>
      <c r="BR386" s="84"/>
      <c r="BS386" s="942"/>
      <c r="BT386" s="942"/>
      <c r="BU386" s="942"/>
      <c r="BV386" s="84"/>
    </row>
    <row r="387" spans="14:74" ht="14.25">
      <c r="N387" s="84"/>
      <c r="O387" s="84"/>
      <c r="P387" s="84"/>
      <c r="Q387" s="84"/>
      <c r="R387" s="84"/>
      <c r="S387" s="84"/>
      <c r="T387" s="84"/>
      <c r="U387" s="84"/>
      <c r="V387" s="84"/>
      <c r="W387" s="84"/>
      <c r="Y387" s="84"/>
      <c r="Z387" s="84"/>
      <c r="AA387" s="84"/>
      <c r="AB387" s="84"/>
      <c r="AC387" s="84"/>
      <c r="AD387" s="84"/>
      <c r="AE387" s="84"/>
      <c r="AF387" s="84"/>
      <c r="AG387" s="84"/>
      <c r="AH387" s="84"/>
      <c r="AI387" s="84"/>
      <c r="AL387" s="84"/>
      <c r="AM387" s="84"/>
      <c r="AN387" s="84"/>
      <c r="AO387" s="84"/>
      <c r="AP387" s="84"/>
      <c r="AQ387" s="84"/>
      <c r="AR387" s="84"/>
      <c r="AS387" s="84"/>
      <c r="AT387" s="84"/>
      <c r="AU387" s="84"/>
      <c r="AV387" s="84"/>
      <c r="AY387" s="84"/>
      <c r="AZ387" s="84"/>
      <c r="BA387" s="84"/>
      <c r="BB387" s="84"/>
      <c r="BC387" s="84"/>
      <c r="BD387" s="84"/>
      <c r="BE387" s="84"/>
      <c r="BF387" s="942"/>
      <c r="BG387" s="942"/>
      <c r="BH387" s="942"/>
      <c r="BI387" s="84"/>
      <c r="BL387" s="84"/>
      <c r="BM387" s="84"/>
      <c r="BN387" s="84"/>
      <c r="BO387" s="84"/>
      <c r="BP387" s="84"/>
      <c r="BQ387" s="84"/>
      <c r="BR387" s="84"/>
      <c r="BS387" s="942"/>
      <c r="BT387" s="942"/>
      <c r="BU387" s="942"/>
      <c r="BV387" s="84"/>
    </row>
    <row r="388" spans="14:74" ht="14.25">
      <c r="N388" s="84"/>
      <c r="O388" s="84"/>
      <c r="P388" s="84"/>
      <c r="Q388" s="84"/>
      <c r="R388" s="84"/>
      <c r="S388" s="84"/>
      <c r="T388" s="84"/>
      <c r="U388" s="84"/>
      <c r="V388" s="84"/>
      <c r="W388" s="84"/>
      <c r="Y388" s="84"/>
      <c r="Z388" s="84"/>
      <c r="AA388" s="84"/>
      <c r="AB388" s="84"/>
      <c r="AC388" s="84"/>
      <c r="AD388" s="84"/>
      <c r="AE388" s="84"/>
      <c r="AF388" s="84"/>
      <c r="AG388" s="84"/>
      <c r="AH388" s="84"/>
      <c r="AI388" s="84"/>
      <c r="AL388" s="84"/>
      <c r="AM388" s="84"/>
      <c r="AN388" s="84"/>
      <c r="AO388" s="84"/>
      <c r="AP388" s="84"/>
      <c r="AQ388" s="84"/>
      <c r="AR388" s="84"/>
      <c r="AS388" s="84"/>
      <c r="AT388" s="84"/>
      <c r="AU388" s="84"/>
      <c r="AV388" s="84"/>
      <c r="AY388" s="84"/>
      <c r="AZ388" s="84"/>
      <c r="BA388" s="84"/>
      <c r="BB388" s="84"/>
      <c r="BC388" s="84"/>
      <c r="BD388" s="84"/>
      <c r="BE388" s="84"/>
      <c r="BF388" s="942"/>
      <c r="BG388" s="942"/>
      <c r="BH388" s="942"/>
      <c r="BI388" s="84"/>
      <c r="BL388" s="84"/>
      <c r="BM388" s="84"/>
      <c r="BN388" s="84"/>
      <c r="BO388" s="84"/>
      <c r="BP388" s="84"/>
      <c r="BQ388" s="84"/>
      <c r="BR388" s="84"/>
      <c r="BS388" s="942"/>
      <c r="BT388" s="942"/>
      <c r="BU388" s="942"/>
      <c r="BV388" s="84"/>
    </row>
    <row r="389" spans="14:74" ht="14.25">
      <c r="N389" s="84"/>
      <c r="O389" s="84"/>
      <c r="P389" s="84"/>
      <c r="Q389" s="84"/>
      <c r="R389" s="84"/>
      <c r="S389" s="84"/>
      <c r="T389" s="84"/>
      <c r="U389" s="84"/>
      <c r="V389" s="84"/>
      <c r="W389" s="84"/>
      <c r="Y389" s="84"/>
      <c r="Z389" s="84"/>
      <c r="AA389" s="84"/>
      <c r="AB389" s="84"/>
      <c r="AC389" s="84"/>
      <c r="AD389" s="84"/>
      <c r="AE389" s="84"/>
      <c r="AF389" s="84"/>
      <c r="AG389" s="84"/>
      <c r="AH389" s="84"/>
      <c r="AI389" s="84"/>
      <c r="AL389" s="84"/>
      <c r="AM389" s="84"/>
      <c r="AN389" s="84"/>
      <c r="AO389" s="84"/>
      <c r="AP389" s="84"/>
      <c r="AQ389" s="84"/>
      <c r="AR389" s="84"/>
      <c r="AS389" s="84"/>
      <c r="AT389" s="84"/>
      <c r="AU389" s="84"/>
      <c r="AV389" s="84"/>
      <c r="AY389" s="84"/>
      <c r="AZ389" s="84"/>
      <c r="BA389" s="84"/>
      <c r="BB389" s="84"/>
      <c r="BC389" s="84"/>
      <c r="BD389" s="84"/>
      <c r="BE389" s="84"/>
      <c r="BF389" s="942"/>
      <c r="BG389" s="942"/>
      <c r="BH389" s="942"/>
      <c r="BI389" s="84"/>
      <c r="BL389" s="84"/>
      <c r="BM389" s="84"/>
      <c r="BN389" s="84"/>
      <c r="BO389" s="84"/>
      <c r="BP389" s="84"/>
      <c r="BQ389" s="84"/>
      <c r="BR389" s="84"/>
      <c r="BS389" s="942"/>
      <c r="BT389" s="942"/>
      <c r="BU389" s="942"/>
      <c r="BV389" s="84"/>
    </row>
    <row r="390" spans="14:74" ht="14.25">
      <c r="N390" s="84"/>
      <c r="O390" s="84"/>
      <c r="P390" s="84"/>
      <c r="Q390" s="84"/>
      <c r="R390" s="84"/>
      <c r="S390" s="84"/>
      <c r="T390" s="84"/>
      <c r="U390" s="84"/>
      <c r="V390" s="84"/>
      <c r="W390" s="84"/>
      <c r="Y390" s="84"/>
      <c r="Z390" s="84"/>
      <c r="AA390" s="84"/>
      <c r="AB390" s="84"/>
      <c r="AC390" s="84"/>
      <c r="AD390" s="84"/>
      <c r="AE390" s="84"/>
      <c r="AF390" s="84"/>
      <c r="AG390" s="84"/>
      <c r="AH390" s="84"/>
      <c r="AI390" s="84"/>
      <c r="AL390" s="84"/>
      <c r="AM390" s="84"/>
      <c r="AN390" s="84"/>
      <c r="AO390" s="84"/>
      <c r="AP390" s="84"/>
      <c r="AQ390" s="84"/>
      <c r="AR390" s="84"/>
      <c r="AS390" s="84"/>
      <c r="AT390" s="84"/>
      <c r="AU390" s="84"/>
      <c r="AV390" s="84"/>
      <c r="AY390" s="84"/>
      <c r="AZ390" s="84"/>
      <c r="BA390" s="84"/>
      <c r="BB390" s="84"/>
      <c r="BC390" s="84"/>
      <c r="BD390" s="84"/>
      <c r="BE390" s="84"/>
      <c r="BF390" s="942"/>
      <c r="BG390" s="942"/>
      <c r="BH390" s="942"/>
      <c r="BI390" s="84"/>
      <c r="BL390" s="84"/>
      <c r="BM390" s="84"/>
      <c r="BN390" s="84"/>
      <c r="BO390" s="84"/>
      <c r="BP390" s="84"/>
      <c r="BQ390" s="84"/>
      <c r="BR390" s="84"/>
      <c r="BS390" s="942"/>
      <c r="BT390" s="942"/>
      <c r="BU390" s="942"/>
      <c r="BV390" s="84"/>
    </row>
    <row r="391" spans="14:74" ht="14.25">
      <c r="N391" s="84"/>
      <c r="O391" s="84"/>
      <c r="P391" s="84"/>
      <c r="Q391" s="84"/>
      <c r="R391" s="84"/>
      <c r="S391" s="84"/>
      <c r="T391" s="84"/>
      <c r="U391" s="84"/>
      <c r="V391" s="84"/>
      <c r="W391" s="84"/>
      <c r="Y391" s="84"/>
      <c r="Z391" s="84"/>
      <c r="AA391" s="84"/>
      <c r="AB391" s="84"/>
      <c r="AC391" s="84"/>
      <c r="AD391" s="84"/>
      <c r="AE391" s="84"/>
      <c r="AF391" s="84"/>
      <c r="AG391" s="84"/>
      <c r="AH391" s="84"/>
      <c r="AI391" s="84"/>
      <c r="AL391" s="84"/>
      <c r="AM391" s="84"/>
      <c r="AN391" s="84"/>
      <c r="AO391" s="84"/>
      <c r="AP391" s="84"/>
      <c r="AQ391" s="84"/>
      <c r="AR391" s="84"/>
      <c r="AS391" s="84"/>
      <c r="AT391" s="84"/>
      <c r="AU391" s="84"/>
      <c r="AV391" s="84"/>
      <c r="AY391" s="84"/>
      <c r="AZ391" s="84"/>
      <c r="BA391" s="84"/>
      <c r="BB391" s="84"/>
      <c r="BC391" s="84"/>
      <c r="BD391" s="84"/>
      <c r="BE391" s="84"/>
      <c r="BF391" s="942"/>
      <c r="BG391" s="942"/>
      <c r="BH391" s="942"/>
      <c r="BI391" s="84"/>
      <c r="BL391" s="84"/>
      <c r="BM391" s="84"/>
      <c r="BN391" s="84"/>
      <c r="BO391" s="84"/>
      <c r="BP391" s="84"/>
      <c r="BQ391" s="84"/>
      <c r="BR391" s="84"/>
      <c r="BS391" s="942"/>
      <c r="BT391" s="942"/>
      <c r="BU391" s="942"/>
      <c r="BV391" s="84"/>
    </row>
    <row r="392" spans="14:74" ht="14.25">
      <c r="N392" s="84"/>
      <c r="O392" s="84"/>
      <c r="P392" s="84"/>
      <c r="Q392" s="84"/>
      <c r="R392" s="84"/>
      <c r="S392" s="84"/>
      <c r="T392" s="84"/>
      <c r="U392" s="84"/>
      <c r="V392" s="84"/>
      <c r="W392" s="84"/>
      <c r="Y392" s="84"/>
      <c r="Z392" s="84"/>
      <c r="AA392" s="84"/>
      <c r="AB392" s="84"/>
      <c r="AC392" s="84"/>
      <c r="AD392" s="84"/>
      <c r="AE392" s="84"/>
      <c r="AF392" s="84"/>
      <c r="AG392" s="84"/>
      <c r="AH392" s="84"/>
      <c r="AI392" s="84"/>
      <c r="AL392" s="84"/>
      <c r="AM392" s="84"/>
      <c r="AN392" s="84"/>
      <c r="AO392" s="84"/>
      <c r="AP392" s="84"/>
      <c r="AQ392" s="84"/>
      <c r="AR392" s="84"/>
      <c r="AS392" s="84"/>
      <c r="AT392" s="84"/>
      <c r="AU392" s="84"/>
      <c r="AV392" s="84"/>
      <c r="AY392" s="84"/>
      <c r="AZ392" s="84"/>
      <c r="BA392" s="84"/>
      <c r="BB392" s="84"/>
      <c r="BC392" s="84"/>
      <c r="BD392" s="84"/>
      <c r="BE392" s="84"/>
      <c r="BF392" s="942"/>
      <c r="BG392" s="942"/>
      <c r="BH392" s="942"/>
      <c r="BI392" s="84"/>
      <c r="BL392" s="84"/>
      <c r="BM392" s="84"/>
      <c r="BN392" s="84"/>
      <c r="BO392" s="84"/>
      <c r="BP392" s="84"/>
      <c r="BQ392" s="84"/>
      <c r="BR392" s="84"/>
      <c r="BS392" s="942"/>
      <c r="BT392" s="942"/>
      <c r="BU392" s="942"/>
      <c r="BV392" s="84"/>
    </row>
    <row r="393" spans="14:74" ht="14.25">
      <c r="N393" s="84"/>
      <c r="O393" s="84"/>
      <c r="P393" s="84"/>
      <c r="Q393" s="84"/>
      <c r="R393" s="84"/>
      <c r="S393" s="84"/>
      <c r="T393" s="84"/>
      <c r="U393" s="84"/>
      <c r="V393" s="84"/>
      <c r="W393" s="84"/>
      <c r="Y393" s="84"/>
      <c r="Z393" s="84"/>
      <c r="AA393" s="84"/>
      <c r="AB393" s="84"/>
      <c r="AC393" s="84"/>
      <c r="AD393" s="84"/>
      <c r="AE393" s="84"/>
      <c r="AF393" s="84"/>
      <c r="AG393" s="84"/>
      <c r="AH393" s="84"/>
      <c r="AI393" s="84"/>
      <c r="AL393" s="84"/>
      <c r="AM393" s="84"/>
      <c r="AN393" s="84"/>
      <c r="AO393" s="84"/>
      <c r="AP393" s="84"/>
      <c r="AQ393" s="84"/>
      <c r="AR393" s="84"/>
      <c r="AS393" s="84"/>
      <c r="AT393" s="84"/>
      <c r="AU393" s="84"/>
      <c r="AV393" s="84"/>
      <c r="AY393" s="84"/>
      <c r="AZ393" s="84"/>
      <c r="BA393" s="84"/>
      <c r="BB393" s="84"/>
      <c r="BC393" s="84"/>
      <c r="BD393" s="84"/>
      <c r="BE393" s="84"/>
      <c r="BF393" s="942"/>
      <c r="BG393" s="942"/>
      <c r="BH393" s="942"/>
      <c r="BI393" s="84"/>
      <c r="BL393" s="84"/>
      <c r="BM393" s="84"/>
      <c r="BN393" s="84"/>
      <c r="BO393" s="84"/>
      <c r="BP393" s="84"/>
      <c r="BQ393" s="84"/>
      <c r="BR393" s="84"/>
      <c r="BS393" s="942"/>
      <c r="BT393" s="942"/>
      <c r="BU393" s="942"/>
      <c r="BV393" s="84"/>
    </row>
    <row r="394" spans="14:74" ht="14.25">
      <c r="N394" s="84"/>
      <c r="O394" s="84"/>
      <c r="P394" s="84"/>
      <c r="Q394" s="84"/>
      <c r="R394" s="84"/>
      <c r="S394" s="84"/>
      <c r="T394" s="84"/>
      <c r="U394" s="84"/>
      <c r="V394" s="84"/>
      <c r="W394" s="84"/>
      <c r="Y394" s="84"/>
      <c r="Z394" s="84"/>
      <c r="AA394" s="84"/>
      <c r="AB394" s="84"/>
      <c r="AC394" s="84"/>
      <c r="AD394" s="84"/>
      <c r="AE394" s="84"/>
      <c r="AF394" s="84"/>
      <c r="AG394" s="84"/>
      <c r="AH394" s="84"/>
      <c r="AI394" s="84"/>
      <c r="AL394" s="84"/>
      <c r="AM394" s="84"/>
      <c r="AN394" s="84"/>
      <c r="AO394" s="84"/>
      <c r="AP394" s="84"/>
      <c r="AQ394" s="84"/>
      <c r="AR394" s="84"/>
      <c r="AS394" s="84"/>
      <c r="AT394" s="84"/>
      <c r="AU394" s="84"/>
      <c r="AV394" s="84"/>
      <c r="AY394" s="84"/>
      <c r="AZ394" s="84"/>
      <c r="BA394" s="84"/>
      <c r="BB394" s="84"/>
      <c r="BC394" s="84"/>
      <c r="BD394" s="84"/>
      <c r="BE394" s="84"/>
      <c r="BF394" s="942"/>
      <c r="BG394" s="942"/>
      <c r="BH394" s="942"/>
      <c r="BI394" s="84"/>
      <c r="BL394" s="84"/>
      <c r="BM394" s="84"/>
      <c r="BN394" s="84"/>
      <c r="BO394" s="84"/>
      <c r="BP394" s="84"/>
      <c r="BQ394" s="84"/>
      <c r="BR394" s="84"/>
      <c r="BS394" s="942"/>
      <c r="BT394" s="942"/>
      <c r="BU394" s="942"/>
      <c r="BV394" s="84"/>
    </row>
    <row r="395" spans="14:74" ht="14.25">
      <c r="N395" s="84"/>
      <c r="O395" s="84"/>
      <c r="P395" s="84"/>
      <c r="Q395" s="84"/>
      <c r="R395" s="84"/>
      <c r="S395" s="84"/>
      <c r="T395" s="84"/>
      <c r="U395" s="84"/>
      <c r="V395" s="84"/>
      <c r="W395" s="84"/>
      <c r="Y395" s="84"/>
      <c r="Z395" s="84"/>
      <c r="AA395" s="84"/>
      <c r="AB395" s="84"/>
      <c r="AC395" s="84"/>
      <c r="AD395" s="84"/>
      <c r="AE395" s="84"/>
      <c r="AF395" s="84"/>
      <c r="AG395" s="84"/>
      <c r="AH395" s="84"/>
      <c r="AI395" s="84"/>
      <c r="AL395" s="84"/>
      <c r="AM395" s="84"/>
      <c r="AN395" s="84"/>
      <c r="AO395" s="84"/>
      <c r="AP395" s="84"/>
      <c r="AQ395" s="84"/>
      <c r="AR395" s="84"/>
      <c r="AS395" s="84"/>
      <c r="AT395" s="84"/>
      <c r="AU395" s="84"/>
      <c r="AV395" s="84"/>
      <c r="AY395" s="84"/>
      <c r="AZ395" s="84"/>
      <c r="BA395" s="84"/>
      <c r="BB395" s="84"/>
      <c r="BC395" s="84"/>
      <c r="BD395" s="84"/>
      <c r="BE395" s="84"/>
      <c r="BF395" s="942"/>
      <c r="BG395" s="942"/>
      <c r="BH395" s="942"/>
      <c r="BI395" s="84"/>
      <c r="BL395" s="84"/>
      <c r="BM395" s="84"/>
      <c r="BN395" s="84"/>
      <c r="BO395" s="84"/>
      <c r="BP395" s="84"/>
      <c r="BQ395" s="84"/>
      <c r="BR395" s="84"/>
      <c r="BS395" s="942"/>
      <c r="BT395" s="942"/>
      <c r="BU395" s="942"/>
      <c r="BV395" s="84"/>
    </row>
    <row r="396" spans="14:74" ht="14.25">
      <c r="N396" s="84"/>
      <c r="O396" s="84"/>
      <c r="P396" s="84"/>
      <c r="Q396" s="84"/>
      <c r="R396" s="84"/>
      <c r="S396" s="84"/>
      <c r="T396" s="84"/>
      <c r="U396" s="84"/>
      <c r="V396" s="84"/>
      <c r="W396" s="84"/>
      <c r="Y396" s="84"/>
      <c r="Z396" s="84"/>
      <c r="AA396" s="84"/>
      <c r="AB396" s="84"/>
      <c r="AC396" s="84"/>
      <c r="AD396" s="84"/>
      <c r="AE396" s="84"/>
      <c r="AF396" s="84"/>
      <c r="AG396" s="84"/>
      <c r="AH396" s="84"/>
      <c r="AI396" s="84"/>
      <c r="AL396" s="84"/>
      <c r="AM396" s="84"/>
      <c r="AN396" s="84"/>
      <c r="AO396" s="84"/>
      <c r="AP396" s="84"/>
      <c r="AQ396" s="84"/>
      <c r="AR396" s="84"/>
      <c r="AS396" s="84"/>
      <c r="AT396" s="84"/>
      <c r="AU396" s="84"/>
      <c r="AV396" s="84"/>
      <c r="AY396" s="84"/>
      <c r="AZ396" s="84"/>
      <c r="BA396" s="84"/>
      <c r="BB396" s="84"/>
      <c r="BC396" s="84"/>
      <c r="BD396" s="84"/>
      <c r="BE396" s="84"/>
      <c r="BF396" s="942"/>
      <c r="BG396" s="942"/>
      <c r="BH396" s="942"/>
      <c r="BI396" s="84"/>
      <c r="BL396" s="84"/>
      <c r="BM396" s="84"/>
      <c r="BN396" s="84"/>
      <c r="BO396" s="84"/>
      <c r="BP396" s="84"/>
      <c r="BQ396" s="84"/>
      <c r="BR396" s="84"/>
      <c r="BS396" s="942"/>
      <c r="BT396" s="942"/>
      <c r="BU396" s="942"/>
      <c r="BV396" s="84"/>
    </row>
    <row r="397" spans="14:74" ht="14.25">
      <c r="N397" s="84"/>
      <c r="O397" s="84"/>
      <c r="P397" s="84"/>
      <c r="Q397" s="84"/>
      <c r="R397" s="84"/>
      <c r="S397" s="84"/>
      <c r="T397" s="84"/>
      <c r="U397" s="84"/>
      <c r="V397" s="84"/>
      <c r="W397" s="84"/>
      <c r="Y397" s="84"/>
      <c r="Z397" s="84"/>
      <c r="AA397" s="84"/>
      <c r="AB397" s="84"/>
      <c r="AC397" s="84"/>
      <c r="AD397" s="84"/>
      <c r="AE397" s="84"/>
      <c r="AF397" s="84"/>
      <c r="AG397" s="84"/>
      <c r="AH397" s="84"/>
      <c r="AI397" s="84"/>
      <c r="AL397" s="84"/>
      <c r="AM397" s="84"/>
      <c r="AN397" s="84"/>
      <c r="AO397" s="84"/>
      <c r="AP397" s="84"/>
      <c r="AQ397" s="84"/>
      <c r="AR397" s="84"/>
      <c r="AS397" s="84"/>
      <c r="AT397" s="84"/>
      <c r="AU397" s="84"/>
      <c r="AV397" s="84"/>
      <c r="AY397" s="84"/>
      <c r="AZ397" s="84"/>
      <c r="BA397" s="84"/>
      <c r="BB397" s="84"/>
      <c r="BC397" s="84"/>
      <c r="BD397" s="84"/>
      <c r="BE397" s="84"/>
      <c r="BF397" s="942"/>
      <c r="BG397" s="942"/>
      <c r="BH397" s="942"/>
      <c r="BI397" s="84"/>
      <c r="BL397" s="84"/>
      <c r="BM397" s="84"/>
      <c r="BN397" s="84"/>
      <c r="BO397" s="84"/>
      <c r="BP397" s="84"/>
      <c r="BQ397" s="84"/>
      <c r="BR397" s="84"/>
      <c r="BS397" s="942"/>
      <c r="BT397" s="942"/>
      <c r="BU397" s="942"/>
      <c r="BV397" s="84"/>
    </row>
    <row r="398" spans="14:74" ht="14.25">
      <c r="N398" s="84"/>
      <c r="O398" s="84"/>
      <c r="P398" s="84"/>
      <c r="Q398" s="84"/>
      <c r="R398" s="84"/>
      <c r="S398" s="84"/>
      <c r="T398" s="84"/>
      <c r="U398" s="84"/>
      <c r="V398" s="84"/>
      <c r="W398" s="84"/>
      <c r="Y398" s="84"/>
      <c r="Z398" s="84"/>
      <c r="AA398" s="84"/>
      <c r="AB398" s="84"/>
      <c r="AC398" s="84"/>
      <c r="AD398" s="84"/>
      <c r="AE398" s="84"/>
      <c r="AF398" s="84"/>
      <c r="AG398" s="84"/>
      <c r="AH398" s="84"/>
      <c r="AI398" s="84"/>
      <c r="AL398" s="84"/>
      <c r="AM398" s="84"/>
      <c r="AN398" s="84"/>
      <c r="AO398" s="84"/>
      <c r="AP398" s="84"/>
      <c r="AQ398" s="84"/>
      <c r="AR398" s="84"/>
      <c r="AS398" s="84"/>
      <c r="AT398" s="84"/>
      <c r="AU398" s="84"/>
      <c r="AV398" s="84"/>
      <c r="AY398" s="84"/>
      <c r="AZ398" s="84"/>
      <c r="BA398" s="84"/>
      <c r="BB398" s="84"/>
      <c r="BC398" s="84"/>
      <c r="BD398" s="84"/>
      <c r="BE398" s="84"/>
      <c r="BF398" s="942"/>
      <c r="BG398" s="942"/>
      <c r="BH398" s="942"/>
      <c r="BI398" s="84"/>
      <c r="BL398" s="84"/>
      <c r="BM398" s="84"/>
      <c r="BN398" s="84"/>
      <c r="BO398" s="84"/>
      <c r="BP398" s="84"/>
      <c r="BQ398" s="84"/>
      <c r="BR398" s="84"/>
      <c r="BS398" s="942"/>
      <c r="BT398" s="942"/>
      <c r="BU398" s="942"/>
      <c r="BV398" s="84"/>
    </row>
    <row r="399" spans="14:74" ht="14.25">
      <c r="N399" s="84"/>
      <c r="O399" s="84"/>
      <c r="P399" s="84"/>
      <c r="Q399" s="84"/>
      <c r="R399" s="84"/>
      <c r="S399" s="84"/>
      <c r="T399" s="84"/>
      <c r="U399" s="84"/>
      <c r="V399" s="84"/>
      <c r="W399" s="84"/>
      <c r="Y399" s="84"/>
      <c r="Z399" s="84"/>
      <c r="AA399" s="84"/>
      <c r="AB399" s="84"/>
      <c r="AC399" s="84"/>
      <c r="AD399" s="84"/>
      <c r="AE399" s="84"/>
      <c r="AF399" s="84"/>
      <c r="AG399" s="84"/>
      <c r="AH399" s="84"/>
      <c r="AI399" s="84"/>
      <c r="AL399" s="84"/>
      <c r="AM399" s="84"/>
      <c r="AN399" s="84"/>
      <c r="AO399" s="84"/>
      <c r="AP399" s="84"/>
      <c r="AQ399" s="84"/>
      <c r="AR399" s="84"/>
      <c r="AS399" s="84"/>
      <c r="AT399" s="84"/>
      <c r="AU399" s="84"/>
      <c r="AV399" s="84"/>
      <c r="AY399" s="84"/>
      <c r="AZ399" s="84"/>
      <c r="BA399" s="84"/>
      <c r="BB399" s="84"/>
      <c r="BC399" s="84"/>
      <c r="BD399" s="84"/>
      <c r="BE399" s="84"/>
      <c r="BF399" s="942"/>
      <c r="BG399" s="942"/>
      <c r="BH399" s="942"/>
      <c r="BI399" s="84"/>
      <c r="BL399" s="84"/>
      <c r="BM399" s="84"/>
      <c r="BN399" s="84"/>
      <c r="BO399" s="84"/>
      <c r="BP399" s="84"/>
      <c r="BQ399" s="84"/>
      <c r="BR399" s="84"/>
      <c r="BS399" s="942"/>
      <c r="BT399" s="942"/>
      <c r="BU399" s="942"/>
      <c r="BV399" s="84"/>
    </row>
    <row r="400" spans="14:74" ht="14.25">
      <c r="N400" s="84"/>
      <c r="O400" s="84"/>
      <c r="P400" s="84"/>
      <c r="Q400" s="84"/>
      <c r="R400" s="84"/>
      <c r="S400" s="84"/>
      <c r="T400" s="84"/>
      <c r="U400" s="84"/>
      <c r="V400" s="84"/>
      <c r="W400" s="84"/>
      <c r="Y400" s="84"/>
      <c r="Z400" s="84"/>
      <c r="AA400" s="84"/>
      <c r="AB400" s="84"/>
      <c r="AC400" s="84"/>
      <c r="AD400" s="84"/>
      <c r="AE400" s="84"/>
      <c r="AF400" s="84"/>
      <c r="AG400" s="84"/>
      <c r="AH400" s="84"/>
      <c r="AI400" s="84"/>
      <c r="AL400" s="84"/>
      <c r="AM400" s="84"/>
      <c r="AN400" s="84"/>
      <c r="AO400" s="84"/>
      <c r="AP400" s="84"/>
      <c r="AQ400" s="84"/>
      <c r="AR400" s="84"/>
      <c r="AS400" s="84"/>
      <c r="AT400" s="84"/>
      <c r="AU400" s="84"/>
      <c r="AV400" s="84"/>
      <c r="AY400" s="84"/>
      <c r="AZ400" s="84"/>
      <c r="BA400" s="84"/>
      <c r="BB400" s="84"/>
      <c r="BC400" s="84"/>
      <c r="BD400" s="84"/>
      <c r="BE400" s="84"/>
      <c r="BF400" s="942"/>
      <c r="BG400" s="942"/>
      <c r="BH400" s="942"/>
      <c r="BI400" s="84"/>
      <c r="BL400" s="84"/>
      <c r="BM400" s="84"/>
      <c r="BN400" s="84"/>
      <c r="BO400" s="84"/>
      <c r="BP400" s="84"/>
      <c r="BQ400" s="84"/>
      <c r="BR400" s="84"/>
      <c r="BS400" s="942"/>
      <c r="BT400" s="942"/>
      <c r="BU400" s="942"/>
      <c r="BV400" s="84"/>
    </row>
    <row r="401" spans="14:74" ht="14.25">
      <c r="N401" s="84"/>
      <c r="O401" s="84"/>
      <c r="P401" s="84"/>
      <c r="Q401" s="84"/>
      <c r="R401" s="84"/>
      <c r="S401" s="84"/>
      <c r="T401" s="84"/>
      <c r="U401" s="84"/>
      <c r="V401" s="84"/>
      <c r="W401" s="84"/>
      <c r="Y401" s="84"/>
      <c r="Z401" s="84"/>
      <c r="AA401" s="84"/>
      <c r="AB401" s="84"/>
      <c r="AC401" s="84"/>
      <c r="AD401" s="84"/>
      <c r="AE401" s="84"/>
      <c r="AF401" s="84"/>
      <c r="AG401" s="84"/>
      <c r="AH401" s="84"/>
      <c r="AI401" s="84"/>
      <c r="AL401" s="84"/>
      <c r="AM401" s="84"/>
      <c r="AN401" s="84"/>
      <c r="AO401" s="84"/>
      <c r="AP401" s="84"/>
      <c r="AQ401" s="84"/>
      <c r="AR401" s="84"/>
      <c r="AS401" s="84"/>
      <c r="AT401" s="84"/>
      <c r="AU401" s="84"/>
      <c r="AV401" s="84"/>
      <c r="AY401" s="84"/>
      <c r="AZ401" s="84"/>
      <c r="BA401" s="84"/>
      <c r="BB401" s="84"/>
      <c r="BC401" s="84"/>
      <c r="BD401" s="84"/>
      <c r="BE401" s="84"/>
      <c r="BF401" s="942"/>
      <c r="BG401" s="942"/>
      <c r="BH401" s="942"/>
      <c r="BI401" s="84"/>
      <c r="BL401" s="84"/>
      <c r="BM401" s="84"/>
      <c r="BN401" s="84"/>
      <c r="BO401" s="84"/>
      <c r="BP401" s="84"/>
      <c r="BQ401" s="84"/>
      <c r="BR401" s="84"/>
      <c r="BS401" s="942"/>
      <c r="BT401" s="942"/>
      <c r="BU401" s="942"/>
      <c r="BV401" s="84"/>
    </row>
    <row r="402" spans="14:74" ht="14.25">
      <c r="N402" s="84"/>
      <c r="O402" s="84"/>
      <c r="P402" s="84"/>
      <c r="Q402" s="84"/>
      <c r="R402" s="84"/>
      <c r="S402" s="84"/>
      <c r="T402" s="84"/>
      <c r="U402" s="84"/>
      <c r="V402" s="84"/>
      <c r="W402" s="84"/>
      <c r="Y402" s="84"/>
      <c r="Z402" s="84"/>
      <c r="AA402" s="84"/>
      <c r="AB402" s="84"/>
      <c r="AC402" s="84"/>
      <c r="AD402" s="84"/>
      <c r="AE402" s="84"/>
      <c r="AF402" s="84"/>
      <c r="AG402" s="84"/>
      <c r="AH402" s="84"/>
      <c r="AI402" s="84"/>
      <c r="AL402" s="84"/>
      <c r="AM402" s="84"/>
      <c r="AN402" s="84"/>
      <c r="AO402" s="84"/>
      <c r="AP402" s="84"/>
      <c r="AQ402" s="84"/>
      <c r="AR402" s="84"/>
      <c r="AS402" s="84"/>
      <c r="AT402" s="84"/>
      <c r="AU402" s="84"/>
      <c r="AV402" s="84"/>
      <c r="AY402" s="84"/>
      <c r="AZ402" s="84"/>
      <c r="BA402" s="84"/>
      <c r="BB402" s="84"/>
      <c r="BC402" s="84"/>
      <c r="BD402" s="84"/>
      <c r="BE402" s="84"/>
      <c r="BF402" s="942"/>
      <c r="BG402" s="942"/>
      <c r="BH402" s="942"/>
      <c r="BI402" s="84"/>
      <c r="BL402" s="84"/>
      <c r="BM402" s="84"/>
      <c r="BN402" s="84"/>
      <c r="BO402" s="84"/>
      <c r="BP402" s="84"/>
      <c r="BQ402" s="84"/>
      <c r="BR402" s="84"/>
      <c r="BS402" s="942"/>
      <c r="BT402" s="942"/>
      <c r="BU402" s="942"/>
      <c r="BV402" s="84"/>
    </row>
    <row r="403" spans="14:74" ht="14.25">
      <c r="N403" s="84"/>
      <c r="O403" s="84"/>
      <c r="P403" s="84"/>
      <c r="Q403" s="84"/>
      <c r="R403" s="84"/>
      <c r="S403" s="84"/>
      <c r="T403" s="84"/>
      <c r="U403" s="84"/>
      <c r="V403" s="84"/>
      <c r="W403" s="84"/>
      <c r="Y403" s="84"/>
      <c r="Z403" s="84"/>
      <c r="AA403" s="84"/>
      <c r="AB403" s="84"/>
      <c r="AC403" s="84"/>
      <c r="AD403" s="84"/>
      <c r="AE403" s="84"/>
      <c r="AF403" s="84"/>
      <c r="AG403" s="84"/>
      <c r="AH403" s="84"/>
      <c r="AI403" s="84"/>
      <c r="AL403" s="84"/>
      <c r="AM403" s="84"/>
      <c r="AN403" s="84"/>
      <c r="AO403" s="84"/>
      <c r="AP403" s="84"/>
      <c r="AQ403" s="84"/>
      <c r="AR403" s="84"/>
      <c r="AS403" s="84"/>
      <c r="AT403" s="84"/>
      <c r="AU403" s="84"/>
      <c r="AV403" s="84"/>
      <c r="AY403" s="84"/>
      <c r="AZ403" s="84"/>
      <c r="BA403" s="84"/>
      <c r="BB403" s="84"/>
      <c r="BC403" s="84"/>
      <c r="BD403" s="84"/>
      <c r="BE403" s="84"/>
      <c r="BF403" s="942"/>
      <c r="BG403" s="942"/>
      <c r="BH403" s="942"/>
      <c r="BI403" s="84"/>
      <c r="BL403" s="84"/>
      <c r="BM403" s="84"/>
      <c r="BN403" s="84"/>
      <c r="BO403" s="84"/>
      <c r="BP403" s="84"/>
      <c r="BQ403" s="84"/>
      <c r="BR403" s="84"/>
      <c r="BS403" s="942"/>
      <c r="BT403" s="942"/>
      <c r="BU403" s="942"/>
      <c r="BV403" s="84"/>
    </row>
    <row r="404" spans="14:74" ht="14.25">
      <c r="N404" s="84"/>
      <c r="O404" s="84"/>
      <c r="P404" s="84"/>
      <c r="Q404" s="84"/>
      <c r="R404" s="84"/>
      <c r="S404" s="84"/>
      <c r="T404" s="84"/>
      <c r="U404" s="84"/>
      <c r="V404" s="84"/>
      <c r="W404" s="84"/>
      <c r="Y404" s="84"/>
      <c r="Z404" s="84"/>
      <c r="AA404" s="84"/>
      <c r="AB404" s="84"/>
      <c r="AC404" s="84"/>
      <c r="AD404" s="84"/>
      <c r="AE404" s="84"/>
      <c r="AF404" s="84"/>
      <c r="AG404" s="84"/>
      <c r="AH404" s="84"/>
      <c r="AI404" s="84"/>
      <c r="AL404" s="84"/>
      <c r="AM404" s="84"/>
      <c r="AN404" s="84"/>
      <c r="AO404" s="84"/>
      <c r="AP404" s="84"/>
      <c r="AQ404" s="84"/>
      <c r="AR404" s="84"/>
      <c r="AS404" s="84"/>
      <c r="AT404" s="84"/>
      <c r="AU404" s="84"/>
      <c r="AV404" s="84"/>
      <c r="AY404" s="84"/>
      <c r="AZ404" s="84"/>
      <c r="BA404" s="84"/>
      <c r="BB404" s="84"/>
      <c r="BC404" s="84"/>
      <c r="BD404" s="84"/>
      <c r="BE404" s="84"/>
      <c r="BF404" s="942"/>
      <c r="BG404" s="942"/>
      <c r="BH404" s="942"/>
      <c r="BI404" s="84"/>
      <c r="BL404" s="84"/>
      <c r="BM404" s="84"/>
      <c r="BN404" s="84"/>
      <c r="BO404" s="84"/>
      <c r="BP404" s="84"/>
      <c r="BQ404" s="84"/>
      <c r="BR404" s="84"/>
      <c r="BS404" s="942"/>
      <c r="BT404" s="942"/>
      <c r="BU404" s="942"/>
      <c r="BV404" s="84"/>
    </row>
    <row r="405" spans="14:74" ht="14.25">
      <c r="N405" s="84"/>
      <c r="O405" s="84"/>
      <c r="P405" s="84"/>
      <c r="Q405" s="84"/>
      <c r="R405" s="84"/>
      <c r="S405" s="84"/>
      <c r="T405" s="84"/>
      <c r="U405" s="84"/>
      <c r="V405" s="84"/>
      <c r="W405" s="84"/>
      <c r="Y405" s="84"/>
      <c r="Z405" s="84"/>
      <c r="AA405" s="84"/>
      <c r="AB405" s="84"/>
      <c r="AC405" s="84"/>
      <c r="AD405" s="84"/>
      <c r="AE405" s="84"/>
      <c r="AF405" s="84"/>
      <c r="AG405" s="84"/>
      <c r="AH405" s="84"/>
      <c r="AI405" s="84"/>
      <c r="AL405" s="84"/>
      <c r="AM405" s="84"/>
      <c r="AN405" s="84"/>
      <c r="AO405" s="84"/>
      <c r="AP405" s="84"/>
      <c r="AQ405" s="84"/>
      <c r="AR405" s="84"/>
      <c r="AS405" s="84"/>
      <c r="AT405" s="84"/>
      <c r="AU405" s="84"/>
      <c r="AV405" s="84"/>
      <c r="AY405" s="84"/>
      <c r="AZ405" s="84"/>
      <c r="BA405" s="84"/>
      <c r="BB405" s="84"/>
      <c r="BC405" s="84"/>
      <c r="BD405" s="84"/>
      <c r="BE405" s="84"/>
      <c r="BF405" s="942"/>
      <c r="BG405" s="942"/>
      <c r="BH405" s="942"/>
      <c r="BI405" s="84"/>
      <c r="BL405" s="84"/>
      <c r="BM405" s="84"/>
      <c r="BN405" s="84"/>
      <c r="BO405" s="84"/>
      <c r="BP405" s="84"/>
      <c r="BQ405" s="84"/>
      <c r="BR405" s="84"/>
      <c r="BS405" s="942"/>
      <c r="BT405" s="942"/>
      <c r="BU405" s="942"/>
      <c r="BV405" s="84"/>
    </row>
    <row r="406" spans="14:74" ht="14.25">
      <c r="N406" s="84"/>
      <c r="O406" s="84"/>
      <c r="P406" s="84"/>
      <c r="Q406" s="84"/>
      <c r="R406" s="84"/>
      <c r="S406" s="84"/>
      <c r="T406" s="84"/>
      <c r="U406" s="84"/>
      <c r="V406" s="84"/>
      <c r="W406" s="84"/>
      <c r="Y406" s="84"/>
      <c r="Z406" s="84"/>
      <c r="AA406" s="84"/>
      <c r="AB406" s="84"/>
      <c r="AC406" s="84"/>
      <c r="AD406" s="84"/>
      <c r="AE406" s="84"/>
      <c r="AF406" s="84"/>
      <c r="AG406" s="84"/>
      <c r="AH406" s="84"/>
      <c r="AI406" s="84"/>
      <c r="AL406" s="84"/>
      <c r="AM406" s="84"/>
      <c r="AN406" s="84"/>
      <c r="AO406" s="84"/>
      <c r="AP406" s="84"/>
      <c r="AQ406" s="84"/>
      <c r="AR406" s="84"/>
      <c r="AS406" s="84"/>
      <c r="AT406" s="84"/>
      <c r="AU406" s="84"/>
      <c r="AV406" s="84"/>
      <c r="AY406" s="84"/>
      <c r="AZ406" s="84"/>
      <c r="BA406" s="84"/>
      <c r="BB406" s="84"/>
      <c r="BC406" s="84"/>
      <c r="BD406" s="84"/>
      <c r="BE406" s="84"/>
      <c r="BF406" s="942"/>
      <c r="BG406" s="942"/>
      <c r="BH406" s="942"/>
      <c r="BI406" s="84"/>
      <c r="BL406" s="84"/>
      <c r="BM406" s="84"/>
      <c r="BN406" s="84"/>
      <c r="BO406" s="84"/>
      <c r="BP406" s="84"/>
      <c r="BQ406" s="84"/>
      <c r="BR406" s="84"/>
      <c r="BS406" s="942"/>
      <c r="BT406" s="942"/>
      <c r="BU406" s="942"/>
      <c r="BV406" s="84"/>
    </row>
    <row r="407" spans="14:74" ht="14.25">
      <c r="N407" s="84"/>
      <c r="O407" s="84"/>
      <c r="P407" s="84"/>
      <c r="Q407" s="84"/>
      <c r="R407" s="84"/>
      <c r="S407" s="84"/>
      <c r="T407" s="84"/>
      <c r="U407" s="84"/>
      <c r="V407" s="84"/>
      <c r="W407" s="84"/>
      <c r="Y407" s="84"/>
      <c r="Z407" s="84"/>
      <c r="AA407" s="84"/>
      <c r="AB407" s="84"/>
      <c r="AC407" s="84"/>
      <c r="AD407" s="84"/>
      <c r="AE407" s="84"/>
      <c r="AF407" s="84"/>
      <c r="AG407" s="84"/>
      <c r="AH407" s="84"/>
      <c r="AI407" s="84"/>
      <c r="AL407" s="84"/>
      <c r="AM407" s="84"/>
      <c r="AN407" s="84"/>
      <c r="AO407" s="84"/>
      <c r="AP407" s="84"/>
      <c r="AQ407" s="84"/>
      <c r="AR407" s="84"/>
      <c r="AS407" s="84"/>
      <c r="AT407" s="84"/>
      <c r="AU407" s="84"/>
      <c r="AV407" s="84"/>
      <c r="AY407" s="84"/>
      <c r="AZ407" s="84"/>
      <c r="BA407" s="84"/>
      <c r="BB407" s="84"/>
      <c r="BC407" s="84"/>
      <c r="BD407" s="84"/>
      <c r="BE407" s="84"/>
      <c r="BF407" s="942"/>
      <c r="BG407" s="942"/>
      <c r="BH407" s="942"/>
      <c r="BI407" s="84"/>
      <c r="BL407" s="84"/>
      <c r="BM407" s="84"/>
      <c r="BN407" s="84"/>
      <c r="BO407" s="84"/>
      <c r="BP407" s="84"/>
      <c r="BQ407" s="84"/>
      <c r="BR407" s="84"/>
      <c r="BS407" s="942"/>
      <c r="BT407" s="942"/>
      <c r="BU407" s="942"/>
      <c r="BV407" s="84"/>
    </row>
    <row r="408" spans="14:74" ht="14.25">
      <c r="N408" s="84"/>
      <c r="O408" s="84"/>
      <c r="P408" s="84"/>
      <c r="Q408" s="84"/>
      <c r="R408" s="84"/>
      <c r="S408" s="84"/>
      <c r="T408" s="84"/>
      <c r="U408" s="84"/>
      <c r="V408" s="84"/>
      <c r="W408" s="84"/>
      <c r="Y408" s="84"/>
      <c r="Z408" s="84"/>
      <c r="AA408" s="84"/>
      <c r="AB408" s="84"/>
      <c r="AC408" s="84"/>
      <c r="AD408" s="84"/>
      <c r="AE408" s="84"/>
      <c r="AF408" s="84"/>
      <c r="AG408" s="84"/>
      <c r="AH408" s="84"/>
      <c r="AI408" s="84"/>
      <c r="AL408" s="84"/>
      <c r="AM408" s="84"/>
      <c r="AN408" s="84"/>
      <c r="AO408" s="84"/>
      <c r="AP408" s="84"/>
      <c r="AQ408" s="84"/>
      <c r="AR408" s="84"/>
      <c r="AS408" s="84"/>
      <c r="AT408" s="84"/>
      <c r="AU408" s="84"/>
      <c r="AV408" s="84"/>
      <c r="AY408" s="84"/>
      <c r="AZ408" s="84"/>
      <c r="BA408" s="84"/>
      <c r="BB408" s="84"/>
      <c r="BC408" s="84"/>
      <c r="BD408" s="84"/>
      <c r="BE408" s="84"/>
      <c r="BF408" s="942"/>
      <c r="BG408" s="942"/>
      <c r="BH408" s="942"/>
      <c r="BI408" s="84"/>
      <c r="BL408" s="84"/>
      <c r="BM408" s="84"/>
      <c r="BN408" s="84"/>
      <c r="BO408" s="84"/>
      <c r="BP408" s="84"/>
      <c r="BQ408" s="84"/>
      <c r="BR408" s="84"/>
      <c r="BS408" s="942"/>
      <c r="BT408" s="942"/>
      <c r="BU408" s="942"/>
      <c r="BV408" s="84"/>
    </row>
    <row r="409" spans="14:74" ht="14.25">
      <c r="N409" s="84"/>
      <c r="O409" s="84"/>
      <c r="P409" s="84"/>
      <c r="Q409" s="84"/>
      <c r="R409" s="84"/>
      <c r="S409" s="84"/>
      <c r="T409" s="84"/>
      <c r="U409" s="84"/>
      <c r="V409" s="84"/>
      <c r="W409" s="84"/>
      <c r="Y409" s="84"/>
      <c r="Z409" s="84"/>
      <c r="AA409" s="84"/>
      <c r="AB409" s="84"/>
      <c r="AC409" s="84"/>
      <c r="AD409" s="84"/>
      <c r="AE409" s="84"/>
      <c r="AF409" s="84"/>
      <c r="AG409" s="84"/>
      <c r="AH409" s="84"/>
      <c r="AI409" s="84"/>
      <c r="AL409" s="84"/>
      <c r="AM409" s="84"/>
      <c r="AN409" s="84"/>
      <c r="AO409" s="84"/>
      <c r="AP409" s="84"/>
      <c r="AQ409" s="84"/>
      <c r="AR409" s="84"/>
      <c r="AS409" s="84"/>
      <c r="AT409" s="84"/>
      <c r="AU409" s="84"/>
      <c r="AV409" s="84"/>
      <c r="AY409" s="84"/>
      <c r="AZ409" s="84"/>
      <c r="BA409" s="84"/>
      <c r="BB409" s="84"/>
      <c r="BC409" s="84"/>
      <c r="BD409" s="84"/>
      <c r="BE409" s="84"/>
      <c r="BF409" s="942"/>
      <c r="BG409" s="942"/>
      <c r="BH409" s="942"/>
      <c r="BI409" s="84"/>
      <c r="BL409" s="84"/>
      <c r="BM409" s="84"/>
      <c r="BN409" s="84"/>
      <c r="BO409" s="84"/>
      <c r="BP409" s="84"/>
      <c r="BQ409" s="84"/>
      <c r="BR409" s="84"/>
      <c r="BS409" s="942"/>
      <c r="BT409" s="942"/>
      <c r="BU409" s="942"/>
      <c r="BV409" s="84"/>
    </row>
    <row r="410" spans="14:74" ht="14.25">
      <c r="N410" s="84"/>
      <c r="O410" s="84"/>
      <c r="P410" s="84"/>
      <c r="Q410" s="84"/>
      <c r="R410" s="84"/>
      <c r="S410" s="84"/>
      <c r="T410" s="84"/>
      <c r="U410" s="84"/>
      <c r="V410" s="84"/>
      <c r="W410" s="84"/>
      <c r="Y410" s="84"/>
      <c r="Z410" s="84"/>
      <c r="AA410" s="84"/>
      <c r="AB410" s="84"/>
      <c r="AC410" s="84"/>
      <c r="AD410" s="84"/>
      <c r="AE410" s="84"/>
      <c r="AF410" s="84"/>
      <c r="AG410" s="84"/>
      <c r="AH410" s="84"/>
      <c r="AI410" s="84"/>
      <c r="AL410" s="84"/>
      <c r="AM410" s="84"/>
      <c r="AN410" s="84"/>
      <c r="AO410" s="84"/>
      <c r="AP410" s="84"/>
      <c r="AQ410" s="84"/>
      <c r="AR410" s="84"/>
      <c r="AS410" s="84"/>
      <c r="AT410" s="84"/>
      <c r="AU410" s="84"/>
      <c r="AV410" s="84"/>
      <c r="AY410" s="84"/>
      <c r="AZ410" s="84"/>
      <c r="BA410" s="84"/>
      <c r="BB410" s="84"/>
      <c r="BC410" s="84"/>
      <c r="BD410" s="84"/>
      <c r="BE410" s="84"/>
      <c r="BF410" s="942"/>
      <c r="BG410" s="942"/>
      <c r="BH410" s="942"/>
      <c r="BI410" s="84"/>
      <c r="BL410" s="84"/>
      <c r="BM410" s="84"/>
      <c r="BN410" s="84"/>
      <c r="BO410" s="84"/>
      <c r="BP410" s="84"/>
      <c r="BQ410" s="84"/>
      <c r="BR410" s="84"/>
      <c r="BS410" s="942"/>
      <c r="BT410" s="942"/>
      <c r="BU410" s="942"/>
      <c r="BV410" s="84"/>
    </row>
    <row r="411" spans="14:74" ht="14.25">
      <c r="N411" s="84"/>
      <c r="O411" s="84"/>
      <c r="P411" s="84"/>
      <c r="Q411" s="84"/>
      <c r="R411" s="84"/>
      <c r="S411" s="84"/>
      <c r="T411" s="84"/>
      <c r="U411" s="84"/>
      <c r="V411" s="84"/>
      <c r="W411" s="84"/>
      <c r="Y411" s="84"/>
      <c r="Z411" s="84"/>
      <c r="AA411" s="84"/>
      <c r="AB411" s="84"/>
      <c r="AC411" s="84"/>
      <c r="AD411" s="84"/>
      <c r="AE411" s="84"/>
      <c r="AF411" s="84"/>
      <c r="AG411" s="84"/>
      <c r="AH411" s="84"/>
      <c r="AI411" s="84"/>
      <c r="AL411" s="84"/>
      <c r="AM411" s="84"/>
      <c r="AN411" s="84"/>
      <c r="AO411" s="84"/>
      <c r="AP411" s="84"/>
      <c r="AQ411" s="84"/>
      <c r="AR411" s="84"/>
      <c r="AS411" s="84"/>
      <c r="AT411" s="84"/>
      <c r="AU411" s="84"/>
      <c r="AV411" s="84"/>
      <c r="AY411" s="84"/>
      <c r="AZ411" s="84"/>
      <c r="BA411" s="84"/>
      <c r="BB411" s="84"/>
      <c r="BC411" s="84"/>
      <c r="BD411" s="84"/>
      <c r="BE411" s="84"/>
      <c r="BF411" s="942"/>
      <c r="BG411" s="942"/>
      <c r="BH411" s="942"/>
      <c r="BI411" s="84"/>
      <c r="BL411" s="84"/>
      <c r="BM411" s="84"/>
      <c r="BN411" s="84"/>
      <c r="BO411" s="84"/>
      <c r="BP411" s="84"/>
      <c r="BQ411" s="84"/>
      <c r="BR411" s="84"/>
      <c r="BS411" s="942"/>
      <c r="BT411" s="942"/>
      <c r="BU411" s="942"/>
      <c r="BV411" s="84"/>
    </row>
    <row r="412" spans="14:74" ht="14.25">
      <c r="N412" s="84"/>
      <c r="O412" s="84"/>
      <c r="P412" s="84"/>
      <c r="Q412" s="84"/>
      <c r="R412" s="84"/>
      <c r="S412" s="84"/>
      <c r="T412" s="84"/>
      <c r="U412" s="84"/>
      <c r="V412" s="84"/>
      <c r="W412" s="84"/>
      <c r="Y412" s="84"/>
      <c r="Z412" s="84"/>
      <c r="AA412" s="84"/>
      <c r="AB412" s="84"/>
      <c r="AC412" s="84"/>
      <c r="AD412" s="84"/>
      <c r="AE412" s="84"/>
      <c r="AF412" s="84"/>
      <c r="AG412" s="84"/>
      <c r="AH412" s="84"/>
      <c r="AI412" s="84"/>
      <c r="AL412" s="84"/>
      <c r="AM412" s="84"/>
      <c r="AN412" s="84"/>
      <c r="AO412" s="84"/>
      <c r="AP412" s="84"/>
      <c r="AQ412" s="84"/>
      <c r="AR412" s="84"/>
      <c r="AS412" s="84"/>
      <c r="AT412" s="84"/>
      <c r="AU412" s="84"/>
      <c r="AV412" s="84"/>
      <c r="AY412" s="84"/>
      <c r="AZ412" s="84"/>
      <c r="BA412" s="84"/>
      <c r="BB412" s="84"/>
      <c r="BC412" s="84"/>
      <c r="BD412" s="84"/>
      <c r="BE412" s="84"/>
      <c r="BF412" s="942"/>
      <c r="BG412" s="942"/>
      <c r="BH412" s="942"/>
      <c r="BI412" s="84"/>
      <c r="BL412" s="84"/>
      <c r="BM412" s="84"/>
      <c r="BN412" s="84"/>
      <c r="BO412" s="84"/>
      <c r="BP412" s="84"/>
      <c r="BQ412" s="84"/>
      <c r="BR412" s="84"/>
      <c r="BS412" s="942"/>
      <c r="BT412" s="942"/>
      <c r="BU412" s="942"/>
      <c r="BV412" s="84"/>
    </row>
    <row r="413" spans="14:74" ht="14.25">
      <c r="N413" s="84"/>
      <c r="O413" s="84"/>
      <c r="P413" s="84"/>
      <c r="Q413" s="84"/>
      <c r="R413" s="84"/>
      <c r="S413" s="84"/>
      <c r="T413" s="84"/>
      <c r="U413" s="84"/>
      <c r="V413" s="84"/>
      <c r="W413" s="84"/>
      <c r="Y413" s="84"/>
      <c r="Z413" s="84"/>
      <c r="AA413" s="84"/>
      <c r="AB413" s="84"/>
      <c r="AC413" s="84"/>
      <c r="AD413" s="84"/>
      <c r="AE413" s="84"/>
      <c r="AF413" s="84"/>
      <c r="AG413" s="84"/>
      <c r="AH413" s="84"/>
      <c r="AI413" s="84"/>
      <c r="AL413" s="84"/>
      <c r="AM413" s="84"/>
      <c r="AN413" s="84"/>
      <c r="AO413" s="84"/>
      <c r="AP413" s="84"/>
      <c r="AQ413" s="84"/>
      <c r="AR413" s="84"/>
      <c r="AS413" s="84"/>
      <c r="AT413" s="84"/>
      <c r="AU413" s="84"/>
      <c r="AV413" s="84"/>
      <c r="AY413" s="84"/>
      <c r="AZ413" s="84"/>
      <c r="BA413" s="84"/>
      <c r="BB413" s="84"/>
      <c r="BC413" s="84"/>
      <c r="BD413" s="84"/>
      <c r="BE413" s="84"/>
      <c r="BF413" s="942"/>
      <c r="BG413" s="942"/>
      <c r="BH413" s="942"/>
      <c r="BI413" s="84"/>
      <c r="BL413" s="84"/>
      <c r="BM413" s="84"/>
      <c r="BN413" s="84"/>
      <c r="BO413" s="84"/>
      <c r="BP413" s="84"/>
      <c r="BQ413" s="84"/>
      <c r="BR413" s="84"/>
      <c r="BS413" s="942"/>
      <c r="BT413" s="942"/>
      <c r="BU413" s="942"/>
      <c r="BV413" s="84"/>
    </row>
    <row r="414" spans="14:74" ht="14.25">
      <c r="N414" s="84"/>
      <c r="O414" s="84"/>
      <c r="P414" s="84"/>
      <c r="Q414" s="84"/>
      <c r="R414" s="84"/>
      <c r="S414" s="84"/>
      <c r="T414" s="84"/>
      <c r="U414" s="84"/>
      <c r="V414" s="84"/>
      <c r="W414" s="84"/>
      <c r="Y414" s="84"/>
      <c r="Z414" s="84"/>
      <c r="AA414" s="84"/>
      <c r="AB414" s="84"/>
      <c r="AC414" s="84"/>
      <c r="AD414" s="84"/>
      <c r="AE414" s="84"/>
      <c r="AF414" s="84"/>
      <c r="AG414" s="84"/>
      <c r="AH414" s="84"/>
      <c r="AI414" s="84"/>
      <c r="AL414" s="84"/>
      <c r="AM414" s="84"/>
      <c r="AN414" s="84"/>
      <c r="AO414" s="84"/>
      <c r="AP414" s="84"/>
      <c r="AQ414" s="84"/>
      <c r="AR414" s="84"/>
      <c r="AS414" s="84"/>
      <c r="AT414" s="84"/>
      <c r="AU414" s="84"/>
      <c r="AV414" s="84"/>
      <c r="AY414" s="84"/>
      <c r="AZ414" s="84"/>
      <c r="BA414" s="84"/>
      <c r="BB414" s="84"/>
      <c r="BC414" s="84"/>
      <c r="BD414" s="84"/>
      <c r="BE414" s="84"/>
      <c r="BF414" s="942"/>
      <c r="BG414" s="942"/>
      <c r="BH414" s="942"/>
      <c r="BI414" s="84"/>
      <c r="BL414" s="84"/>
      <c r="BM414" s="84"/>
      <c r="BN414" s="84"/>
      <c r="BO414" s="84"/>
      <c r="BP414" s="84"/>
      <c r="BQ414" s="84"/>
      <c r="BR414" s="84"/>
      <c r="BS414" s="942"/>
      <c r="BT414" s="942"/>
      <c r="BU414" s="942"/>
      <c r="BV414" s="84"/>
    </row>
    <row r="415" spans="14:74" ht="14.25">
      <c r="N415" s="84"/>
      <c r="O415" s="84"/>
      <c r="P415" s="84"/>
      <c r="Q415" s="84"/>
      <c r="R415" s="84"/>
      <c r="S415" s="84"/>
      <c r="T415" s="84"/>
      <c r="U415" s="84"/>
      <c r="V415" s="84"/>
      <c r="W415" s="84"/>
      <c r="Y415" s="84"/>
      <c r="Z415" s="84"/>
      <c r="AA415" s="84"/>
      <c r="AB415" s="84"/>
      <c r="AC415" s="84"/>
      <c r="AD415" s="84"/>
      <c r="AE415" s="84"/>
      <c r="AF415" s="84"/>
      <c r="AG415" s="84"/>
      <c r="AH415" s="84"/>
      <c r="AI415" s="84"/>
      <c r="AL415" s="84"/>
      <c r="AM415" s="84"/>
      <c r="AN415" s="84"/>
      <c r="AO415" s="84"/>
      <c r="AP415" s="84"/>
      <c r="AQ415" s="84"/>
      <c r="AR415" s="84"/>
      <c r="AS415" s="84"/>
      <c r="AT415" s="84"/>
      <c r="AU415" s="84"/>
      <c r="AV415" s="84"/>
      <c r="AY415" s="84"/>
      <c r="AZ415" s="84"/>
      <c r="BA415" s="84"/>
      <c r="BB415" s="84"/>
      <c r="BC415" s="84"/>
      <c r="BD415" s="84"/>
      <c r="BE415" s="84"/>
      <c r="BF415" s="942"/>
      <c r="BG415" s="942"/>
      <c r="BH415" s="942"/>
      <c r="BI415" s="84"/>
      <c r="BL415" s="84"/>
      <c r="BM415" s="84"/>
      <c r="BN415" s="84"/>
      <c r="BO415" s="84"/>
      <c r="BP415" s="84"/>
      <c r="BQ415" s="84"/>
      <c r="BR415" s="84"/>
      <c r="BS415" s="942"/>
      <c r="BT415" s="942"/>
      <c r="BU415" s="942"/>
      <c r="BV415" s="84"/>
    </row>
    <row r="416" spans="14:74" ht="14.25">
      <c r="N416" s="84"/>
      <c r="O416" s="84"/>
      <c r="P416" s="84"/>
      <c r="Q416" s="84"/>
      <c r="R416" s="84"/>
      <c r="S416" s="84"/>
      <c r="T416" s="84"/>
      <c r="U416" s="84"/>
      <c r="V416" s="84"/>
      <c r="W416" s="84"/>
      <c r="Y416" s="84"/>
      <c r="Z416" s="84"/>
      <c r="AA416" s="84"/>
      <c r="AB416" s="84"/>
      <c r="AC416" s="84"/>
      <c r="AD416" s="84"/>
      <c r="AE416" s="84"/>
      <c r="AF416" s="84"/>
      <c r="AG416" s="84"/>
      <c r="AH416" s="84"/>
      <c r="AI416" s="84"/>
      <c r="AL416" s="84"/>
      <c r="AM416" s="84"/>
      <c r="AN416" s="84"/>
      <c r="AO416" s="84"/>
      <c r="AP416" s="84"/>
      <c r="AQ416" s="84"/>
      <c r="AR416" s="84"/>
      <c r="AS416" s="84"/>
      <c r="AT416" s="84"/>
      <c r="AU416" s="84"/>
      <c r="AV416" s="84"/>
      <c r="AY416" s="84"/>
      <c r="AZ416" s="84"/>
      <c r="BA416" s="84"/>
      <c r="BB416" s="84"/>
      <c r="BC416" s="84"/>
      <c r="BD416" s="84"/>
      <c r="BE416" s="84"/>
      <c r="BF416" s="942"/>
      <c r="BG416" s="942"/>
      <c r="BH416" s="942"/>
      <c r="BI416" s="84"/>
      <c r="BL416" s="84"/>
      <c r="BM416" s="84"/>
      <c r="BN416" s="84"/>
      <c r="BO416" s="84"/>
      <c r="BP416" s="84"/>
      <c r="BQ416" s="84"/>
      <c r="BR416" s="84"/>
      <c r="BS416" s="942"/>
      <c r="BT416" s="942"/>
      <c r="BU416" s="942"/>
      <c r="BV416" s="84"/>
    </row>
    <row r="417" spans="14:74" ht="14.25">
      <c r="N417" s="84"/>
      <c r="O417" s="84"/>
      <c r="P417" s="84"/>
      <c r="Q417" s="84"/>
      <c r="R417" s="84"/>
      <c r="S417" s="84"/>
      <c r="T417" s="84"/>
      <c r="U417" s="84"/>
      <c r="V417" s="84"/>
      <c r="W417" s="84"/>
      <c r="Y417" s="84"/>
      <c r="Z417" s="84"/>
      <c r="AA417" s="84"/>
      <c r="AB417" s="84"/>
      <c r="AC417" s="84"/>
      <c r="AD417" s="84"/>
      <c r="AE417" s="84"/>
      <c r="AF417" s="84"/>
      <c r="AG417" s="84"/>
      <c r="AH417" s="84"/>
      <c r="AI417" s="84"/>
      <c r="AL417" s="84"/>
      <c r="AM417" s="84"/>
      <c r="AN417" s="84"/>
      <c r="AO417" s="84"/>
      <c r="AP417" s="84"/>
      <c r="AQ417" s="84"/>
      <c r="AR417" s="84"/>
      <c r="AS417" s="84"/>
      <c r="AT417" s="84"/>
      <c r="AU417" s="84"/>
      <c r="AV417" s="84"/>
      <c r="AY417" s="84"/>
      <c r="AZ417" s="84"/>
      <c r="BA417" s="84"/>
      <c r="BB417" s="84"/>
      <c r="BC417" s="84"/>
      <c r="BD417" s="84"/>
      <c r="BE417" s="84"/>
      <c r="BF417" s="942"/>
      <c r="BG417" s="942"/>
      <c r="BH417" s="942"/>
      <c r="BI417" s="84"/>
      <c r="BL417" s="84"/>
      <c r="BM417" s="84"/>
      <c r="BN417" s="84"/>
      <c r="BO417" s="84"/>
      <c r="BP417" s="84"/>
      <c r="BQ417" s="84"/>
      <c r="BR417" s="84"/>
      <c r="BS417" s="942"/>
      <c r="BT417" s="942"/>
      <c r="BU417" s="942"/>
      <c r="BV417" s="84"/>
    </row>
    <row r="418" spans="14:74" ht="14.25">
      <c r="N418" s="84"/>
      <c r="O418" s="84"/>
      <c r="P418" s="84"/>
      <c r="Q418" s="84"/>
      <c r="R418" s="84"/>
      <c r="S418" s="84"/>
      <c r="T418" s="84"/>
      <c r="U418" s="84"/>
      <c r="V418" s="84"/>
      <c r="W418" s="84"/>
      <c r="Y418" s="84"/>
      <c r="Z418" s="84"/>
      <c r="AA418" s="84"/>
      <c r="AB418" s="84"/>
      <c r="AC418" s="84"/>
      <c r="AD418" s="84"/>
      <c r="AE418" s="84"/>
      <c r="AF418" s="84"/>
      <c r="AG418" s="84"/>
      <c r="AH418" s="84"/>
      <c r="AI418" s="84"/>
      <c r="AL418" s="84"/>
      <c r="AM418" s="84"/>
      <c r="AN418" s="84"/>
      <c r="AO418" s="84"/>
      <c r="AP418" s="84"/>
      <c r="AQ418" s="84"/>
      <c r="AR418" s="84"/>
      <c r="AS418" s="84"/>
      <c r="AT418" s="84"/>
      <c r="AU418" s="84"/>
      <c r="AV418" s="84"/>
      <c r="AY418" s="84"/>
      <c r="AZ418" s="84"/>
      <c r="BA418" s="84"/>
      <c r="BB418" s="84"/>
      <c r="BC418" s="84"/>
      <c r="BD418" s="84"/>
      <c r="BE418" s="84"/>
      <c r="BF418" s="942"/>
      <c r="BG418" s="942"/>
      <c r="BH418" s="942"/>
      <c r="BI418" s="84"/>
      <c r="BL418" s="84"/>
      <c r="BM418" s="84"/>
      <c r="BN418" s="84"/>
      <c r="BO418" s="84"/>
      <c r="BP418" s="84"/>
      <c r="BQ418" s="84"/>
      <c r="BR418" s="84"/>
      <c r="BS418" s="942"/>
      <c r="BT418" s="942"/>
      <c r="BU418" s="942"/>
      <c r="BV418" s="84"/>
    </row>
    <row r="419" spans="14:74" ht="14.25">
      <c r="N419" s="84"/>
      <c r="O419" s="84"/>
      <c r="P419" s="84"/>
      <c r="Q419" s="84"/>
      <c r="R419" s="84"/>
      <c r="S419" s="84"/>
      <c r="T419" s="84"/>
      <c r="U419" s="84"/>
      <c r="V419" s="84"/>
      <c r="W419" s="84"/>
      <c r="Y419" s="84"/>
      <c r="Z419" s="84"/>
      <c r="AA419" s="84"/>
      <c r="AB419" s="84"/>
      <c r="AC419" s="84"/>
      <c r="AD419" s="84"/>
      <c r="AE419" s="84"/>
      <c r="AF419" s="84"/>
      <c r="AG419" s="84"/>
      <c r="AH419" s="84"/>
      <c r="AI419" s="84"/>
      <c r="AL419" s="84"/>
      <c r="AM419" s="84"/>
      <c r="AN419" s="84"/>
      <c r="AO419" s="84"/>
      <c r="AP419" s="84"/>
      <c r="AQ419" s="84"/>
      <c r="AR419" s="84"/>
      <c r="AS419" s="84"/>
      <c r="AT419" s="84"/>
      <c r="AU419" s="84"/>
      <c r="AV419" s="84"/>
      <c r="AY419" s="84"/>
      <c r="AZ419" s="84"/>
      <c r="BA419" s="84"/>
      <c r="BB419" s="84"/>
      <c r="BC419" s="84"/>
      <c r="BD419" s="84"/>
      <c r="BE419" s="84"/>
      <c r="BF419" s="942"/>
      <c r="BG419" s="942"/>
      <c r="BH419" s="942"/>
      <c r="BI419" s="84"/>
      <c r="BL419" s="84"/>
      <c r="BM419" s="84"/>
      <c r="BN419" s="84"/>
      <c r="BO419" s="84"/>
      <c r="BP419" s="84"/>
      <c r="BQ419" s="84"/>
      <c r="BR419" s="84"/>
      <c r="BS419" s="942"/>
      <c r="BT419" s="942"/>
      <c r="BU419" s="942"/>
      <c r="BV419" s="84"/>
    </row>
    <row r="420" spans="14:74" ht="14.25">
      <c r="N420" s="84"/>
      <c r="O420" s="84"/>
      <c r="P420" s="84"/>
      <c r="Q420" s="84"/>
      <c r="R420" s="84"/>
      <c r="S420" s="84"/>
      <c r="T420" s="84"/>
      <c r="U420" s="84"/>
      <c r="V420" s="84"/>
      <c r="W420" s="84"/>
      <c r="Y420" s="84"/>
      <c r="Z420" s="84"/>
      <c r="AA420" s="84"/>
      <c r="AB420" s="84"/>
      <c r="AC420" s="84"/>
      <c r="AD420" s="84"/>
      <c r="AE420" s="84"/>
      <c r="AF420" s="84"/>
      <c r="AG420" s="84"/>
      <c r="AH420" s="84"/>
      <c r="AI420" s="84"/>
      <c r="AL420" s="84"/>
      <c r="AM420" s="84"/>
      <c r="AN420" s="84"/>
      <c r="AO420" s="84"/>
      <c r="AP420" s="84"/>
      <c r="AQ420" s="84"/>
      <c r="AR420" s="84"/>
      <c r="AS420" s="84"/>
      <c r="AT420" s="84"/>
      <c r="AU420" s="84"/>
      <c r="AV420" s="84"/>
      <c r="AY420" s="84"/>
      <c r="AZ420" s="84"/>
      <c r="BA420" s="84"/>
      <c r="BB420" s="84"/>
      <c r="BC420" s="84"/>
      <c r="BD420" s="84"/>
      <c r="BE420" s="84"/>
      <c r="BF420" s="942"/>
      <c r="BG420" s="942"/>
      <c r="BH420" s="942"/>
      <c r="BI420" s="84"/>
      <c r="BL420" s="84"/>
      <c r="BM420" s="84"/>
      <c r="BN420" s="84"/>
      <c r="BO420" s="84"/>
      <c r="BP420" s="84"/>
      <c r="BQ420" s="84"/>
      <c r="BR420" s="84"/>
      <c r="BS420" s="942"/>
      <c r="BT420" s="942"/>
      <c r="BU420" s="942"/>
      <c r="BV420" s="84"/>
    </row>
    <row r="421" spans="14:74" ht="14.25">
      <c r="N421" s="84"/>
      <c r="O421" s="84"/>
      <c r="P421" s="84"/>
      <c r="Q421" s="84"/>
      <c r="R421" s="84"/>
      <c r="S421" s="84"/>
      <c r="T421" s="84"/>
      <c r="U421" s="84"/>
      <c r="V421" s="84"/>
      <c r="W421" s="84"/>
      <c r="Y421" s="84"/>
      <c r="Z421" s="84"/>
      <c r="AA421" s="84"/>
      <c r="AB421" s="84"/>
      <c r="AC421" s="84"/>
      <c r="AD421" s="84"/>
      <c r="AE421" s="84"/>
      <c r="AF421" s="84"/>
      <c r="AG421" s="84"/>
      <c r="AH421" s="84"/>
      <c r="AI421" s="84"/>
      <c r="AL421" s="84"/>
      <c r="AM421" s="84"/>
      <c r="AN421" s="84"/>
      <c r="AO421" s="84"/>
      <c r="AP421" s="84"/>
      <c r="AQ421" s="84"/>
      <c r="AR421" s="84"/>
      <c r="AS421" s="84"/>
      <c r="AT421" s="84"/>
      <c r="AU421" s="84"/>
      <c r="AV421" s="84"/>
      <c r="AY421" s="84"/>
      <c r="AZ421" s="84"/>
      <c r="BA421" s="84"/>
      <c r="BB421" s="84"/>
      <c r="BC421" s="84"/>
      <c r="BD421" s="84"/>
      <c r="BE421" s="84"/>
      <c r="BF421" s="942"/>
      <c r="BG421" s="942"/>
      <c r="BH421" s="942"/>
      <c r="BI421" s="84"/>
      <c r="BL421" s="84"/>
      <c r="BM421" s="84"/>
      <c r="BN421" s="84"/>
      <c r="BO421" s="84"/>
      <c r="BP421" s="84"/>
      <c r="BQ421" s="84"/>
      <c r="BR421" s="84"/>
      <c r="BS421" s="942"/>
      <c r="BT421" s="942"/>
      <c r="BU421" s="942"/>
      <c r="BV421" s="84"/>
    </row>
    <row r="422" spans="14:74" ht="14.25">
      <c r="N422" s="84"/>
      <c r="O422" s="84"/>
      <c r="P422" s="84"/>
      <c r="Q422" s="84"/>
      <c r="R422" s="84"/>
      <c r="S422" s="84"/>
      <c r="T422" s="84"/>
      <c r="U422" s="84"/>
      <c r="V422" s="84"/>
      <c r="W422" s="84"/>
      <c r="Y422" s="84"/>
      <c r="Z422" s="84"/>
      <c r="AA422" s="84"/>
      <c r="AB422" s="84"/>
      <c r="AC422" s="84"/>
      <c r="AD422" s="84"/>
      <c r="AE422" s="84"/>
      <c r="AF422" s="84"/>
      <c r="AG422" s="84"/>
      <c r="AH422" s="84"/>
      <c r="AI422" s="84"/>
      <c r="AL422" s="84"/>
      <c r="AM422" s="84"/>
      <c r="AN422" s="84"/>
      <c r="AO422" s="84"/>
      <c r="AP422" s="84"/>
      <c r="AQ422" s="84"/>
      <c r="AR422" s="84"/>
      <c r="AS422" s="84"/>
      <c r="AT422" s="84"/>
      <c r="AU422" s="84"/>
      <c r="AV422" s="84"/>
      <c r="AY422" s="84"/>
      <c r="AZ422" s="84"/>
      <c r="BA422" s="84"/>
      <c r="BB422" s="84"/>
      <c r="BC422" s="84"/>
      <c r="BD422" s="84"/>
      <c r="BE422" s="84"/>
      <c r="BF422" s="942"/>
      <c r="BG422" s="942"/>
      <c r="BH422" s="942"/>
      <c r="BI422" s="84"/>
      <c r="BL422" s="84"/>
      <c r="BM422" s="84"/>
      <c r="BN422" s="84"/>
      <c r="BO422" s="84"/>
      <c r="BP422" s="84"/>
      <c r="BQ422" s="84"/>
      <c r="BR422" s="84"/>
      <c r="BS422" s="942"/>
      <c r="BT422" s="942"/>
      <c r="BU422" s="942"/>
      <c r="BV422" s="84"/>
    </row>
    <row r="423" spans="14:74" ht="14.25">
      <c r="N423" s="84"/>
      <c r="O423" s="84"/>
      <c r="P423" s="84"/>
      <c r="Q423" s="84"/>
      <c r="R423" s="84"/>
      <c r="S423" s="84"/>
      <c r="T423" s="84"/>
      <c r="U423" s="84"/>
      <c r="V423" s="84"/>
      <c r="W423" s="84"/>
      <c r="Y423" s="84"/>
      <c r="Z423" s="84"/>
      <c r="AA423" s="84"/>
      <c r="AB423" s="84"/>
      <c r="AC423" s="84"/>
      <c r="AD423" s="84"/>
      <c r="AE423" s="84"/>
      <c r="AF423" s="84"/>
      <c r="AG423" s="84"/>
      <c r="AH423" s="84"/>
      <c r="AI423" s="84"/>
      <c r="AL423" s="84"/>
      <c r="AM423" s="84"/>
      <c r="AN423" s="84"/>
      <c r="AO423" s="84"/>
      <c r="AP423" s="84"/>
      <c r="AQ423" s="84"/>
      <c r="AR423" s="84"/>
      <c r="AS423" s="84"/>
      <c r="AT423" s="84"/>
      <c r="AU423" s="84"/>
      <c r="AV423" s="84"/>
      <c r="AY423" s="84"/>
      <c r="AZ423" s="84"/>
      <c r="BA423" s="84"/>
      <c r="BB423" s="84"/>
      <c r="BC423" s="84"/>
      <c r="BD423" s="84"/>
      <c r="BE423" s="84"/>
      <c r="BF423" s="942"/>
      <c r="BG423" s="942"/>
      <c r="BH423" s="942"/>
      <c r="BI423" s="84"/>
      <c r="BL423" s="84"/>
      <c r="BM423" s="84"/>
      <c r="BN423" s="84"/>
      <c r="BO423" s="84"/>
      <c r="BP423" s="84"/>
      <c r="BQ423" s="84"/>
      <c r="BR423" s="84"/>
      <c r="BS423" s="942"/>
      <c r="BT423" s="942"/>
      <c r="BU423" s="942"/>
      <c r="BV423" s="84"/>
    </row>
    <row r="424" spans="14:74" ht="14.25">
      <c r="N424" s="84"/>
      <c r="O424" s="84"/>
      <c r="P424" s="84"/>
      <c r="Q424" s="84"/>
      <c r="R424" s="84"/>
      <c r="S424" s="84"/>
      <c r="T424" s="84"/>
      <c r="U424" s="84"/>
      <c r="V424" s="84"/>
      <c r="W424" s="84"/>
      <c r="Y424" s="84"/>
      <c r="Z424" s="84"/>
      <c r="AA424" s="84"/>
      <c r="AB424" s="84"/>
      <c r="AC424" s="84"/>
      <c r="AD424" s="84"/>
      <c r="AE424" s="84"/>
      <c r="AF424" s="84"/>
      <c r="AG424" s="84"/>
      <c r="AH424" s="84"/>
      <c r="AI424" s="84"/>
      <c r="AL424" s="84"/>
      <c r="AM424" s="84"/>
      <c r="AN424" s="84"/>
      <c r="AO424" s="84"/>
      <c r="AP424" s="84"/>
      <c r="AQ424" s="84"/>
      <c r="AR424" s="84"/>
      <c r="AS424" s="84"/>
      <c r="AT424" s="84"/>
      <c r="AU424" s="84"/>
      <c r="AV424" s="84"/>
      <c r="AY424" s="84"/>
      <c r="AZ424" s="84"/>
      <c r="BA424" s="84"/>
      <c r="BB424" s="84"/>
      <c r="BC424" s="84"/>
      <c r="BD424" s="84"/>
      <c r="BE424" s="84"/>
      <c r="BF424" s="942"/>
      <c r="BG424" s="942"/>
      <c r="BH424" s="942"/>
      <c r="BI424" s="84"/>
      <c r="BL424" s="84"/>
      <c r="BM424" s="84"/>
      <c r="BN424" s="84"/>
      <c r="BO424" s="84"/>
      <c r="BP424" s="84"/>
      <c r="BQ424" s="84"/>
      <c r="BR424" s="84"/>
      <c r="BS424" s="942"/>
      <c r="BT424" s="942"/>
      <c r="BU424" s="942"/>
      <c r="BV424" s="84"/>
    </row>
    <row r="425" spans="14:74" ht="14.25">
      <c r="N425" s="84"/>
      <c r="O425" s="84"/>
      <c r="P425" s="84"/>
      <c r="Q425" s="84"/>
      <c r="R425" s="84"/>
      <c r="S425" s="84"/>
      <c r="T425" s="84"/>
      <c r="U425" s="84"/>
      <c r="V425" s="84"/>
      <c r="W425" s="84"/>
      <c r="Y425" s="84"/>
      <c r="Z425" s="84"/>
      <c r="AA425" s="84"/>
      <c r="AB425" s="84"/>
      <c r="AC425" s="84"/>
      <c r="AD425" s="84"/>
      <c r="AE425" s="84"/>
      <c r="AF425" s="84"/>
      <c r="AG425" s="84"/>
      <c r="AH425" s="84"/>
      <c r="AI425" s="84"/>
      <c r="AL425" s="84"/>
      <c r="AM425" s="84"/>
      <c r="AN425" s="84"/>
      <c r="AO425" s="84"/>
      <c r="AP425" s="84"/>
      <c r="AQ425" s="84"/>
      <c r="AR425" s="84"/>
      <c r="AS425" s="84"/>
      <c r="AT425" s="84"/>
      <c r="AU425" s="84"/>
      <c r="AV425" s="84"/>
      <c r="AY425" s="84"/>
      <c r="AZ425" s="84"/>
      <c r="BA425" s="84"/>
      <c r="BB425" s="84"/>
      <c r="BC425" s="84"/>
      <c r="BD425" s="84"/>
      <c r="BE425" s="84"/>
      <c r="BF425" s="942"/>
      <c r="BG425" s="942"/>
      <c r="BH425" s="942"/>
      <c r="BI425" s="84"/>
      <c r="BL425" s="84"/>
      <c r="BM425" s="84"/>
      <c r="BN425" s="84"/>
      <c r="BO425" s="84"/>
      <c r="BP425" s="84"/>
      <c r="BQ425" s="84"/>
      <c r="BR425" s="84"/>
      <c r="BS425" s="942"/>
      <c r="BT425" s="942"/>
      <c r="BU425" s="942"/>
      <c r="BV425" s="84"/>
    </row>
    <row r="426" spans="14:74" ht="14.25">
      <c r="N426" s="84"/>
      <c r="O426" s="84"/>
      <c r="P426" s="84"/>
      <c r="Q426" s="84"/>
      <c r="R426" s="84"/>
      <c r="S426" s="84"/>
      <c r="T426" s="84"/>
      <c r="U426" s="84"/>
      <c r="V426" s="84"/>
      <c r="W426" s="84"/>
      <c r="Y426" s="84"/>
      <c r="Z426" s="84"/>
      <c r="AA426" s="84"/>
      <c r="AB426" s="84"/>
      <c r="AC426" s="84"/>
      <c r="AD426" s="84"/>
      <c r="AE426" s="84"/>
      <c r="AF426" s="84"/>
      <c r="AG426" s="84"/>
      <c r="AH426" s="84"/>
      <c r="AI426" s="84"/>
      <c r="AL426" s="84"/>
      <c r="AM426" s="84"/>
      <c r="AN426" s="84"/>
      <c r="AO426" s="84"/>
      <c r="AP426" s="84"/>
      <c r="AQ426" s="84"/>
      <c r="AR426" s="84"/>
      <c r="AS426" s="84"/>
      <c r="AT426" s="84"/>
      <c r="AU426" s="84"/>
      <c r="AV426" s="84"/>
      <c r="AY426" s="84"/>
      <c r="AZ426" s="84"/>
      <c r="BA426" s="84"/>
      <c r="BB426" s="84"/>
      <c r="BC426" s="84"/>
      <c r="BD426" s="84"/>
      <c r="BE426" s="84"/>
      <c r="BF426" s="942"/>
      <c r="BG426" s="942"/>
      <c r="BH426" s="942"/>
      <c r="BI426" s="84"/>
      <c r="BL426" s="84"/>
      <c r="BM426" s="84"/>
      <c r="BN426" s="84"/>
      <c r="BO426" s="84"/>
      <c r="BP426" s="84"/>
      <c r="BQ426" s="84"/>
      <c r="BR426" s="84"/>
      <c r="BS426" s="942"/>
      <c r="BT426" s="942"/>
      <c r="BU426" s="942"/>
      <c r="BV426" s="84"/>
    </row>
    <row r="427" spans="14:74" ht="14.25">
      <c r="N427" s="84"/>
      <c r="O427" s="84"/>
      <c r="P427" s="84"/>
      <c r="Q427" s="84"/>
      <c r="R427" s="84"/>
      <c r="S427" s="84"/>
      <c r="T427" s="84"/>
      <c r="U427" s="84"/>
      <c r="V427" s="84"/>
      <c r="W427" s="84"/>
      <c r="Y427" s="84"/>
      <c r="Z427" s="84"/>
      <c r="AA427" s="84"/>
      <c r="AB427" s="84"/>
      <c r="AC427" s="84"/>
      <c r="AD427" s="84"/>
      <c r="AE427" s="84"/>
      <c r="AF427" s="84"/>
      <c r="AG427" s="84"/>
      <c r="AH427" s="84"/>
      <c r="AI427" s="84"/>
      <c r="AL427" s="84"/>
      <c r="AM427" s="84"/>
      <c r="AN427" s="84"/>
      <c r="AO427" s="84"/>
      <c r="AP427" s="84"/>
      <c r="AQ427" s="84"/>
      <c r="AR427" s="84"/>
      <c r="AS427" s="84"/>
      <c r="AT427" s="84"/>
      <c r="AU427" s="84"/>
      <c r="AV427" s="84"/>
      <c r="AY427" s="84"/>
      <c r="AZ427" s="84"/>
      <c r="BA427" s="84"/>
      <c r="BB427" s="84"/>
      <c r="BC427" s="84"/>
      <c r="BD427" s="84"/>
      <c r="BE427" s="84"/>
      <c r="BF427" s="942"/>
      <c r="BG427" s="942"/>
      <c r="BH427" s="942"/>
      <c r="BI427" s="84"/>
      <c r="BL427" s="84"/>
      <c r="BM427" s="84"/>
      <c r="BN427" s="84"/>
      <c r="BO427" s="84"/>
      <c r="BP427" s="84"/>
      <c r="BQ427" s="84"/>
      <c r="BR427" s="84"/>
      <c r="BS427" s="942"/>
      <c r="BT427" s="942"/>
      <c r="BU427" s="942"/>
      <c r="BV427" s="84"/>
    </row>
    <row r="428" spans="14:74" ht="14.25">
      <c r="N428" s="84"/>
      <c r="O428" s="84"/>
      <c r="P428" s="84"/>
      <c r="Q428" s="84"/>
      <c r="R428" s="84"/>
      <c r="S428" s="84"/>
      <c r="T428" s="84"/>
      <c r="U428" s="84"/>
      <c r="V428" s="84"/>
      <c r="W428" s="84"/>
      <c r="Y428" s="84"/>
      <c r="Z428" s="84"/>
      <c r="AA428" s="84"/>
      <c r="AB428" s="84"/>
      <c r="AC428" s="84"/>
      <c r="AD428" s="84"/>
      <c r="AE428" s="84"/>
      <c r="AF428" s="84"/>
      <c r="AG428" s="84"/>
      <c r="AH428" s="84"/>
      <c r="AI428" s="84"/>
      <c r="AL428" s="84"/>
      <c r="AM428" s="84"/>
      <c r="AN428" s="84"/>
      <c r="AO428" s="84"/>
      <c r="AP428" s="84"/>
      <c r="AQ428" s="84"/>
      <c r="AR428" s="84"/>
      <c r="AS428" s="84"/>
      <c r="AT428" s="84"/>
      <c r="AU428" s="84"/>
      <c r="AV428" s="84"/>
      <c r="AY428" s="84"/>
      <c r="AZ428" s="84"/>
      <c r="BA428" s="84"/>
      <c r="BB428" s="84"/>
      <c r="BC428" s="84"/>
      <c r="BD428" s="84"/>
      <c r="BE428" s="84"/>
      <c r="BF428" s="942"/>
      <c r="BG428" s="942"/>
      <c r="BH428" s="942"/>
      <c r="BI428" s="84"/>
      <c r="BL428" s="84"/>
      <c r="BM428" s="84"/>
      <c r="BN428" s="84"/>
      <c r="BO428" s="84"/>
      <c r="BP428" s="84"/>
      <c r="BQ428" s="84"/>
      <c r="BR428" s="84"/>
      <c r="BS428" s="942"/>
      <c r="BT428" s="942"/>
      <c r="BU428" s="942"/>
      <c r="BV428" s="84"/>
    </row>
    <row r="429" spans="14:74" ht="14.25">
      <c r="N429" s="84"/>
      <c r="O429" s="84"/>
      <c r="P429" s="84"/>
      <c r="Q429" s="84"/>
      <c r="R429" s="84"/>
      <c r="S429" s="84"/>
      <c r="T429" s="84"/>
      <c r="U429" s="84"/>
      <c r="V429" s="84"/>
      <c r="W429" s="84"/>
      <c r="Y429" s="84"/>
      <c r="Z429" s="84"/>
      <c r="AA429" s="84"/>
      <c r="AB429" s="84"/>
      <c r="AC429" s="84"/>
      <c r="AD429" s="84"/>
      <c r="AE429" s="84"/>
      <c r="AF429" s="84"/>
      <c r="AG429" s="84"/>
      <c r="AH429" s="84"/>
      <c r="AI429" s="84"/>
      <c r="AL429" s="84"/>
      <c r="AM429" s="84"/>
      <c r="AN429" s="84"/>
      <c r="AO429" s="84"/>
      <c r="AP429" s="84"/>
      <c r="AQ429" s="84"/>
      <c r="AR429" s="84"/>
      <c r="AS429" s="84"/>
      <c r="AT429" s="84"/>
      <c r="AU429" s="84"/>
      <c r="AV429" s="84"/>
      <c r="AY429" s="84"/>
      <c r="AZ429" s="84"/>
      <c r="BA429" s="84"/>
      <c r="BB429" s="84"/>
      <c r="BC429" s="84"/>
      <c r="BD429" s="84"/>
      <c r="BE429" s="84"/>
      <c r="BF429" s="942"/>
      <c r="BG429" s="942"/>
      <c r="BH429" s="942"/>
      <c r="BI429" s="84"/>
      <c r="BL429" s="84"/>
      <c r="BM429" s="84"/>
      <c r="BN429" s="84"/>
      <c r="BO429" s="84"/>
      <c r="BP429" s="84"/>
      <c r="BQ429" s="84"/>
      <c r="BR429" s="84"/>
      <c r="BS429" s="942"/>
      <c r="BT429" s="942"/>
      <c r="BU429" s="942"/>
      <c r="BV429" s="84"/>
    </row>
    <row r="430" spans="14:74" ht="14.25">
      <c r="N430" s="84"/>
      <c r="O430" s="84"/>
      <c r="P430" s="84"/>
      <c r="Q430" s="84"/>
      <c r="R430" s="84"/>
      <c r="S430" s="84"/>
      <c r="T430" s="84"/>
      <c r="U430" s="84"/>
      <c r="V430" s="84"/>
      <c r="W430" s="84"/>
      <c r="Y430" s="84"/>
      <c r="Z430" s="84"/>
      <c r="AA430" s="84"/>
      <c r="AB430" s="84"/>
      <c r="AC430" s="84"/>
      <c r="AD430" s="84"/>
      <c r="AE430" s="84"/>
      <c r="AF430" s="84"/>
      <c r="AG430" s="84"/>
      <c r="AH430" s="84"/>
      <c r="AI430" s="84"/>
      <c r="AL430" s="84"/>
      <c r="AM430" s="84"/>
      <c r="AN430" s="84"/>
      <c r="AO430" s="84"/>
      <c r="AP430" s="84"/>
      <c r="AQ430" s="84"/>
      <c r="AR430" s="84"/>
      <c r="AS430" s="84"/>
      <c r="AT430" s="84"/>
      <c r="AU430" s="84"/>
      <c r="AV430" s="84"/>
      <c r="AY430" s="84"/>
      <c r="AZ430" s="84"/>
      <c r="BA430" s="84"/>
      <c r="BB430" s="84"/>
      <c r="BC430" s="84"/>
      <c r="BD430" s="84"/>
      <c r="BE430" s="84"/>
      <c r="BF430" s="942"/>
      <c r="BG430" s="942"/>
      <c r="BH430" s="942"/>
      <c r="BI430" s="84"/>
      <c r="BL430" s="84"/>
      <c r="BM430" s="84"/>
      <c r="BN430" s="84"/>
      <c r="BO430" s="84"/>
      <c r="BP430" s="84"/>
      <c r="BQ430" s="84"/>
      <c r="BR430" s="84"/>
      <c r="BS430" s="942"/>
      <c r="BT430" s="942"/>
      <c r="BU430" s="942"/>
      <c r="BV430" s="84"/>
    </row>
    <row r="431" spans="14:74" ht="14.25">
      <c r="N431" s="84"/>
      <c r="O431" s="84"/>
      <c r="P431" s="84"/>
      <c r="Q431" s="84"/>
      <c r="R431" s="84"/>
      <c r="S431" s="84"/>
      <c r="T431" s="84"/>
      <c r="U431" s="84"/>
      <c r="V431" s="84"/>
      <c r="W431" s="84"/>
      <c r="Y431" s="84"/>
      <c r="Z431" s="84"/>
      <c r="AA431" s="84"/>
      <c r="AB431" s="84"/>
      <c r="AC431" s="84"/>
      <c r="AD431" s="84"/>
      <c r="AE431" s="84"/>
      <c r="AF431" s="84"/>
      <c r="AG431" s="84"/>
      <c r="AH431" s="84"/>
      <c r="AI431" s="84"/>
      <c r="AL431" s="84"/>
      <c r="AM431" s="84"/>
      <c r="AN431" s="84"/>
      <c r="AO431" s="84"/>
      <c r="AP431" s="84"/>
      <c r="AQ431" s="84"/>
      <c r="AR431" s="84"/>
      <c r="AS431" s="84"/>
      <c r="AT431" s="84"/>
      <c r="AU431" s="84"/>
      <c r="AV431" s="84"/>
      <c r="AY431" s="84"/>
      <c r="AZ431" s="84"/>
      <c r="BA431" s="84"/>
      <c r="BB431" s="84"/>
      <c r="BC431" s="84"/>
      <c r="BD431" s="84"/>
      <c r="BE431" s="84"/>
      <c r="BF431" s="942"/>
      <c r="BG431" s="942"/>
      <c r="BH431" s="942"/>
      <c r="BI431" s="84"/>
      <c r="BL431" s="84"/>
      <c r="BM431" s="84"/>
      <c r="BN431" s="84"/>
      <c r="BO431" s="84"/>
      <c r="BP431" s="84"/>
      <c r="BQ431" s="84"/>
      <c r="BR431" s="84"/>
      <c r="BS431" s="942"/>
      <c r="BT431" s="942"/>
      <c r="BU431" s="942"/>
      <c r="BV431" s="84"/>
    </row>
    <row r="432" spans="14:74" ht="14.25">
      <c r="N432" s="84"/>
      <c r="O432" s="84"/>
      <c r="P432" s="84"/>
      <c r="Q432" s="84"/>
      <c r="R432" s="84"/>
      <c r="S432" s="84"/>
      <c r="T432" s="84"/>
      <c r="U432" s="84"/>
      <c r="V432" s="84"/>
      <c r="W432" s="84"/>
      <c r="Y432" s="84"/>
      <c r="Z432" s="84"/>
      <c r="AA432" s="84"/>
      <c r="AB432" s="84"/>
      <c r="AC432" s="84"/>
      <c r="AD432" s="84"/>
      <c r="AE432" s="84"/>
      <c r="AF432" s="84"/>
      <c r="AG432" s="84"/>
      <c r="AH432" s="84"/>
      <c r="AI432" s="84"/>
      <c r="AL432" s="84"/>
      <c r="AM432" s="84"/>
      <c r="AN432" s="84"/>
      <c r="AO432" s="84"/>
      <c r="AP432" s="84"/>
      <c r="AQ432" s="84"/>
      <c r="AR432" s="84"/>
      <c r="AS432" s="84"/>
      <c r="AT432" s="84"/>
      <c r="AU432" s="84"/>
      <c r="AV432" s="84"/>
      <c r="AY432" s="84"/>
      <c r="AZ432" s="84"/>
      <c r="BA432" s="84"/>
      <c r="BB432" s="84"/>
      <c r="BC432" s="84"/>
      <c r="BD432" s="84"/>
      <c r="BE432" s="84"/>
      <c r="BF432" s="942"/>
      <c r="BG432" s="942"/>
      <c r="BH432" s="942"/>
      <c r="BI432" s="84"/>
      <c r="BL432" s="84"/>
      <c r="BM432" s="84"/>
      <c r="BN432" s="84"/>
      <c r="BO432" s="84"/>
      <c r="BP432" s="84"/>
      <c r="BQ432" s="84"/>
      <c r="BR432" s="84"/>
      <c r="BS432" s="942"/>
      <c r="BT432" s="942"/>
      <c r="BU432" s="942"/>
      <c r="BV432" s="84"/>
    </row>
    <row r="433" spans="14:74" ht="14.25">
      <c r="N433" s="84"/>
      <c r="O433" s="84"/>
      <c r="P433" s="84"/>
      <c r="Q433" s="84"/>
      <c r="R433" s="84"/>
      <c r="S433" s="84"/>
      <c r="T433" s="84"/>
      <c r="U433" s="84"/>
      <c r="V433" s="84"/>
      <c r="W433" s="84"/>
      <c r="Y433" s="84"/>
      <c r="Z433" s="84"/>
      <c r="AA433" s="84"/>
      <c r="AB433" s="84"/>
      <c r="AC433" s="84"/>
      <c r="AD433" s="84"/>
      <c r="AE433" s="84"/>
      <c r="AF433" s="84"/>
      <c r="AG433" s="84"/>
      <c r="AH433" s="84"/>
      <c r="AI433" s="84"/>
      <c r="AL433" s="84"/>
      <c r="AM433" s="84"/>
      <c r="AN433" s="84"/>
      <c r="AO433" s="84"/>
      <c r="AP433" s="84"/>
      <c r="AQ433" s="84"/>
      <c r="AR433" s="84"/>
      <c r="AS433" s="84"/>
      <c r="AT433" s="84"/>
      <c r="AU433" s="84"/>
      <c r="AV433" s="84"/>
      <c r="AY433" s="84"/>
      <c r="AZ433" s="84"/>
      <c r="BA433" s="84"/>
      <c r="BB433" s="84"/>
      <c r="BC433" s="84"/>
      <c r="BD433" s="84"/>
      <c r="BE433" s="84"/>
      <c r="BF433" s="942"/>
      <c r="BG433" s="942"/>
      <c r="BH433" s="942"/>
      <c r="BI433" s="84"/>
      <c r="BL433" s="84"/>
      <c r="BM433" s="84"/>
      <c r="BN433" s="84"/>
      <c r="BO433" s="84"/>
      <c r="BP433" s="84"/>
      <c r="BQ433" s="84"/>
      <c r="BR433" s="84"/>
      <c r="BS433" s="942"/>
      <c r="BT433" s="942"/>
      <c r="BU433" s="942"/>
      <c r="BV433" s="84"/>
    </row>
    <row r="434" spans="14:74" ht="14.25">
      <c r="N434" s="84"/>
      <c r="O434" s="84"/>
      <c r="P434" s="84"/>
      <c r="Q434" s="84"/>
      <c r="R434" s="84"/>
      <c r="S434" s="84"/>
      <c r="T434" s="84"/>
      <c r="U434" s="84"/>
      <c r="V434" s="84"/>
      <c r="W434" s="84"/>
      <c r="Y434" s="84"/>
      <c r="Z434" s="84"/>
      <c r="AA434" s="84"/>
      <c r="AB434" s="84"/>
      <c r="AC434" s="84"/>
      <c r="AD434" s="84"/>
      <c r="AE434" s="84"/>
      <c r="AF434" s="84"/>
      <c r="AG434" s="84"/>
      <c r="AH434" s="84"/>
      <c r="AI434" s="84"/>
      <c r="AL434" s="84"/>
      <c r="AM434" s="84"/>
      <c r="AN434" s="84"/>
      <c r="AO434" s="84"/>
      <c r="AP434" s="84"/>
      <c r="AQ434" s="84"/>
      <c r="AR434" s="84"/>
      <c r="AS434" s="84"/>
      <c r="AT434" s="84"/>
      <c r="AU434" s="84"/>
      <c r="AV434" s="84"/>
      <c r="AY434" s="84"/>
      <c r="AZ434" s="84"/>
      <c r="BA434" s="84"/>
      <c r="BB434" s="84"/>
      <c r="BC434" s="84"/>
      <c r="BD434" s="84"/>
      <c r="BE434" s="84"/>
      <c r="BF434" s="942"/>
      <c r="BG434" s="942"/>
      <c r="BH434" s="942"/>
      <c r="BI434" s="84"/>
      <c r="BL434" s="84"/>
      <c r="BM434" s="84"/>
      <c r="BN434" s="84"/>
      <c r="BO434" s="84"/>
      <c r="BP434" s="84"/>
      <c r="BQ434" s="84"/>
      <c r="BR434" s="84"/>
      <c r="BS434" s="942"/>
      <c r="BT434" s="942"/>
      <c r="BU434" s="942"/>
      <c r="BV434" s="84"/>
    </row>
    <row r="435" spans="14:74" ht="14.25">
      <c r="N435" s="84"/>
      <c r="O435" s="84"/>
      <c r="P435" s="84"/>
      <c r="Q435" s="84"/>
      <c r="R435" s="84"/>
      <c r="S435" s="84"/>
      <c r="T435" s="84"/>
      <c r="U435" s="84"/>
      <c r="V435" s="84"/>
      <c r="W435" s="84"/>
      <c r="Y435" s="84"/>
      <c r="Z435" s="84"/>
      <c r="AA435" s="84"/>
      <c r="AB435" s="84"/>
      <c r="AC435" s="84"/>
      <c r="AD435" s="84"/>
      <c r="AE435" s="84"/>
      <c r="AF435" s="84"/>
      <c r="AG435" s="84"/>
      <c r="AH435" s="84"/>
      <c r="AI435" s="84"/>
      <c r="AL435" s="84"/>
      <c r="AM435" s="84"/>
      <c r="AN435" s="84"/>
      <c r="AO435" s="84"/>
      <c r="AP435" s="84"/>
      <c r="AQ435" s="84"/>
      <c r="AR435" s="84"/>
      <c r="AS435" s="84"/>
      <c r="AT435" s="84"/>
      <c r="AU435" s="84"/>
      <c r="AV435" s="84"/>
      <c r="AY435" s="84"/>
      <c r="AZ435" s="84"/>
      <c r="BA435" s="84"/>
      <c r="BB435" s="84"/>
      <c r="BC435" s="84"/>
      <c r="BD435" s="84"/>
      <c r="BE435" s="84"/>
      <c r="BF435" s="942"/>
      <c r="BG435" s="942"/>
      <c r="BH435" s="942"/>
      <c r="BI435" s="84"/>
      <c r="BL435" s="84"/>
      <c r="BM435" s="84"/>
      <c r="BN435" s="84"/>
      <c r="BO435" s="84"/>
      <c r="BP435" s="84"/>
      <c r="BQ435" s="84"/>
      <c r="BR435" s="84"/>
      <c r="BS435" s="942"/>
      <c r="BT435" s="942"/>
      <c r="BU435" s="942"/>
      <c r="BV435" s="84"/>
    </row>
    <row r="436" spans="14:74" ht="14.25">
      <c r="N436" s="84"/>
      <c r="O436" s="84"/>
      <c r="P436" s="84"/>
      <c r="Q436" s="84"/>
      <c r="R436" s="84"/>
      <c r="S436" s="84"/>
      <c r="T436" s="84"/>
      <c r="U436" s="84"/>
      <c r="V436" s="84"/>
      <c r="W436" s="84"/>
      <c r="Y436" s="84"/>
      <c r="Z436" s="84"/>
      <c r="AA436" s="84"/>
      <c r="AB436" s="84"/>
      <c r="AC436" s="84"/>
      <c r="AD436" s="84"/>
      <c r="AE436" s="84"/>
      <c r="AF436" s="84"/>
      <c r="AG436" s="84"/>
      <c r="AH436" s="84"/>
      <c r="AI436" s="84"/>
      <c r="AL436" s="84"/>
      <c r="AM436" s="84"/>
      <c r="AN436" s="84"/>
      <c r="AO436" s="84"/>
      <c r="AP436" s="84"/>
      <c r="AQ436" s="84"/>
      <c r="AR436" s="84"/>
      <c r="AS436" s="84"/>
      <c r="AT436" s="84"/>
      <c r="AU436" s="84"/>
      <c r="AV436" s="84"/>
      <c r="AY436" s="84"/>
      <c r="AZ436" s="84"/>
      <c r="BA436" s="84"/>
      <c r="BB436" s="84"/>
      <c r="BC436" s="84"/>
      <c r="BD436" s="84"/>
      <c r="BE436" s="84"/>
      <c r="BF436" s="942"/>
      <c r="BG436" s="942"/>
      <c r="BH436" s="942"/>
      <c r="BI436" s="84"/>
      <c r="BL436" s="84"/>
      <c r="BM436" s="84"/>
      <c r="BN436" s="84"/>
      <c r="BO436" s="84"/>
      <c r="BP436" s="84"/>
      <c r="BQ436" s="84"/>
      <c r="BR436" s="84"/>
      <c r="BS436" s="942"/>
      <c r="BT436" s="942"/>
      <c r="BU436" s="942"/>
      <c r="BV436" s="84"/>
    </row>
    <row r="437" spans="14:74" ht="14.25">
      <c r="N437" s="84"/>
      <c r="O437" s="84"/>
      <c r="P437" s="84"/>
      <c r="Q437" s="84"/>
      <c r="R437" s="84"/>
      <c r="S437" s="84"/>
      <c r="T437" s="84"/>
      <c r="U437" s="84"/>
      <c r="V437" s="84"/>
      <c r="W437" s="84"/>
      <c r="Y437" s="84"/>
      <c r="Z437" s="84"/>
      <c r="AA437" s="84"/>
      <c r="AB437" s="84"/>
      <c r="AC437" s="84"/>
      <c r="AD437" s="84"/>
      <c r="AE437" s="84"/>
      <c r="AF437" s="84"/>
      <c r="AG437" s="84"/>
      <c r="AH437" s="84"/>
      <c r="AI437" s="84"/>
      <c r="AL437" s="84"/>
      <c r="AM437" s="84"/>
      <c r="AN437" s="84"/>
      <c r="AO437" s="84"/>
      <c r="AP437" s="84"/>
      <c r="AQ437" s="84"/>
      <c r="AR437" s="84"/>
      <c r="AS437" s="84"/>
      <c r="AT437" s="84"/>
      <c r="AU437" s="84"/>
      <c r="AV437" s="84"/>
      <c r="AY437" s="84"/>
      <c r="AZ437" s="84"/>
      <c r="BA437" s="84"/>
      <c r="BB437" s="84"/>
      <c r="BC437" s="84"/>
      <c r="BD437" s="84"/>
      <c r="BE437" s="84"/>
      <c r="BF437" s="942"/>
      <c r="BG437" s="942"/>
      <c r="BH437" s="942"/>
      <c r="BI437" s="84"/>
      <c r="BL437" s="84"/>
      <c r="BM437" s="84"/>
      <c r="BN437" s="84"/>
      <c r="BO437" s="84"/>
      <c r="BP437" s="84"/>
      <c r="BQ437" s="84"/>
      <c r="BR437" s="84"/>
      <c r="BS437" s="942"/>
      <c r="BT437" s="942"/>
      <c r="BU437" s="942"/>
      <c r="BV437" s="84"/>
    </row>
    <row r="438" spans="14:74" ht="14.25">
      <c r="N438" s="84"/>
      <c r="O438" s="84"/>
      <c r="P438" s="84"/>
      <c r="Q438" s="84"/>
      <c r="R438" s="84"/>
      <c r="S438" s="84"/>
      <c r="T438" s="84"/>
      <c r="U438" s="84"/>
      <c r="V438" s="84"/>
      <c r="W438" s="84"/>
      <c r="Y438" s="84"/>
      <c r="Z438" s="84"/>
      <c r="AA438" s="84"/>
      <c r="AB438" s="84"/>
      <c r="AC438" s="84"/>
      <c r="AD438" s="84"/>
      <c r="AE438" s="84"/>
      <c r="AF438" s="84"/>
      <c r="AG438" s="84"/>
      <c r="AH438" s="84"/>
      <c r="AI438" s="84"/>
      <c r="AL438" s="84"/>
      <c r="AM438" s="84"/>
      <c r="AN438" s="84"/>
      <c r="AO438" s="84"/>
      <c r="AP438" s="84"/>
      <c r="AQ438" s="84"/>
      <c r="AR438" s="84"/>
      <c r="AS438" s="84"/>
      <c r="AT438" s="84"/>
      <c r="AU438" s="84"/>
      <c r="AV438" s="84"/>
      <c r="AY438" s="84"/>
      <c r="AZ438" s="84"/>
      <c r="BA438" s="84"/>
      <c r="BB438" s="84"/>
      <c r="BC438" s="84"/>
      <c r="BD438" s="84"/>
      <c r="BE438" s="84"/>
      <c r="BF438" s="942"/>
      <c r="BG438" s="942"/>
      <c r="BH438" s="942"/>
      <c r="BI438" s="84"/>
      <c r="BL438" s="84"/>
      <c r="BM438" s="84"/>
      <c r="BN438" s="84"/>
      <c r="BO438" s="84"/>
      <c r="BP438" s="84"/>
      <c r="BQ438" s="84"/>
      <c r="BR438" s="84"/>
      <c r="BS438" s="942"/>
      <c r="BT438" s="942"/>
      <c r="BU438" s="942"/>
      <c r="BV438" s="84"/>
    </row>
    <row r="439" spans="14:74" ht="14.25">
      <c r="N439" s="84"/>
      <c r="O439" s="84"/>
      <c r="P439" s="84"/>
      <c r="Q439" s="84"/>
      <c r="R439" s="84"/>
      <c r="S439" s="84"/>
      <c r="T439" s="84"/>
      <c r="U439" s="84"/>
      <c r="V439" s="84"/>
      <c r="W439" s="84"/>
      <c r="Y439" s="84"/>
      <c r="Z439" s="84"/>
      <c r="AA439" s="84"/>
      <c r="AB439" s="84"/>
      <c r="AC439" s="84"/>
      <c r="AD439" s="84"/>
      <c r="AE439" s="84"/>
      <c r="AF439" s="84"/>
      <c r="AG439" s="84"/>
      <c r="AH439" s="84"/>
      <c r="AI439" s="84"/>
      <c r="AL439" s="84"/>
      <c r="AM439" s="84"/>
      <c r="AN439" s="84"/>
      <c r="AO439" s="84"/>
      <c r="AP439" s="84"/>
      <c r="AQ439" s="84"/>
      <c r="AR439" s="84"/>
      <c r="AS439" s="84"/>
      <c r="AT439" s="84"/>
      <c r="AU439" s="84"/>
      <c r="AV439" s="84"/>
      <c r="AY439" s="84"/>
      <c r="AZ439" s="84"/>
      <c r="BA439" s="84"/>
      <c r="BB439" s="84"/>
      <c r="BC439" s="84"/>
      <c r="BD439" s="84"/>
      <c r="BE439" s="84"/>
      <c r="BF439" s="942"/>
      <c r="BG439" s="942"/>
      <c r="BH439" s="942"/>
      <c r="BI439" s="84"/>
      <c r="BL439" s="84"/>
      <c r="BM439" s="84"/>
      <c r="BN439" s="84"/>
      <c r="BO439" s="84"/>
      <c r="BP439" s="84"/>
      <c r="BQ439" s="84"/>
      <c r="BR439" s="84"/>
      <c r="BS439" s="942"/>
      <c r="BT439" s="942"/>
      <c r="BU439" s="942"/>
      <c r="BV439" s="84"/>
    </row>
    <row r="440" spans="14:74" ht="14.25">
      <c r="N440" s="84"/>
      <c r="O440" s="84"/>
      <c r="P440" s="84"/>
      <c r="Q440" s="84"/>
      <c r="R440" s="84"/>
      <c r="S440" s="84"/>
      <c r="T440" s="84"/>
      <c r="U440" s="84"/>
      <c r="V440" s="84"/>
      <c r="W440" s="84"/>
      <c r="Y440" s="84"/>
      <c r="Z440" s="84"/>
      <c r="AA440" s="84"/>
      <c r="AB440" s="84"/>
      <c r="AC440" s="84"/>
      <c r="AD440" s="84"/>
      <c r="AE440" s="84"/>
      <c r="AF440" s="84"/>
      <c r="AG440" s="84"/>
      <c r="AH440" s="84"/>
      <c r="AI440" s="84"/>
      <c r="AL440" s="84"/>
      <c r="AM440" s="84"/>
      <c r="AN440" s="84"/>
      <c r="AO440" s="84"/>
      <c r="AP440" s="84"/>
      <c r="AQ440" s="84"/>
      <c r="AR440" s="84"/>
      <c r="AS440" s="84"/>
      <c r="AT440" s="84"/>
      <c r="AU440" s="84"/>
      <c r="AV440" s="84"/>
      <c r="AY440" s="84"/>
      <c r="AZ440" s="84"/>
      <c r="BA440" s="84"/>
      <c r="BB440" s="84"/>
      <c r="BC440" s="84"/>
      <c r="BD440" s="84"/>
      <c r="BE440" s="84"/>
      <c r="BF440" s="942"/>
      <c r="BG440" s="942"/>
      <c r="BH440" s="942"/>
      <c r="BI440" s="84"/>
      <c r="BL440" s="84"/>
      <c r="BM440" s="84"/>
      <c r="BN440" s="84"/>
      <c r="BO440" s="84"/>
      <c r="BP440" s="84"/>
      <c r="BQ440" s="84"/>
      <c r="BR440" s="84"/>
      <c r="BS440" s="942"/>
      <c r="BT440" s="942"/>
      <c r="BU440" s="942"/>
      <c r="BV440" s="84"/>
    </row>
    <row r="441" spans="14:74" ht="14.25">
      <c r="N441" s="84"/>
      <c r="O441" s="84"/>
      <c r="P441" s="84"/>
      <c r="Q441" s="84"/>
      <c r="R441" s="84"/>
      <c r="S441" s="84"/>
      <c r="T441" s="84"/>
      <c r="U441" s="84"/>
      <c r="V441" s="84"/>
      <c r="W441" s="84"/>
      <c r="Y441" s="84"/>
      <c r="Z441" s="84"/>
      <c r="AA441" s="84"/>
      <c r="AB441" s="84"/>
      <c r="AC441" s="84"/>
      <c r="AD441" s="84"/>
      <c r="AE441" s="84"/>
      <c r="AF441" s="84"/>
      <c r="AG441" s="84"/>
      <c r="AH441" s="84"/>
      <c r="AI441" s="84"/>
      <c r="AL441" s="84"/>
      <c r="AM441" s="84"/>
      <c r="AN441" s="84"/>
      <c r="AO441" s="84"/>
      <c r="AP441" s="84"/>
      <c r="AQ441" s="84"/>
      <c r="AR441" s="84"/>
      <c r="AS441" s="84"/>
      <c r="AT441" s="84"/>
      <c r="AU441" s="84"/>
      <c r="AV441" s="84"/>
      <c r="AY441" s="84"/>
      <c r="AZ441" s="84"/>
      <c r="BA441" s="84"/>
      <c r="BB441" s="84"/>
      <c r="BC441" s="84"/>
      <c r="BD441" s="84"/>
      <c r="BE441" s="84"/>
      <c r="BF441" s="942"/>
      <c r="BG441" s="942"/>
      <c r="BH441" s="942"/>
      <c r="BI441" s="84"/>
      <c r="BL441" s="84"/>
      <c r="BM441" s="84"/>
      <c r="BN441" s="84"/>
      <c r="BO441" s="84"/>
      <c r="BP441" s="84"/>
      <c r="BQ441" s="84"/>
      <c r="BR441" s="84"/>
      <c r="BS441" s="942"/>
      <c r="BT441" s="942"/>
      <c r="BU441" s="942"/>
      <c r="BV441" s="84"/>
    </row>
    <row r="442" spans="14:74" ht="14.25">
      <c r="N442" s="84"/>
      <c r="O442" s="84"/>
      <c r="P442" s="84"/>
      <c r="Q442" s="84"/>
      <c r="R442" s="84"/>
      <c r="S442" s="84"/>
      <c r="T442" s="84"/>
      <c r="U442" s="84"/>
      <c r="V442" s="84"/>
      <c r="W442" s="84"/>
      <c r="Y442" s="84"/>
      <c r="Z442" s="84"/>
      <c r="AA442" s="84"/>
      <c r="AB442" s="84"/>
      <c r="AC442" s="84"/>
      <c r="AD442" s="84"/>
      <c r="AE442" s="84"/>
      <c r="AF442" s="84"/>
      <c r="AG442" s="84"/>
      <c r="AH442" s="84"/>
      <c r="AI442" s="84"/>
      <c r="AL442" s="84"/>
      <c r="AM442" s="84"/>
      <c r="AN442" s="84"/>
      <c r="AO442" s="84"/>
      <c r="AP442" s="84"/>
      <c r="AQ442" s="84"/>
      <c r="AR442" s="84"/>
      <c r="AS442" s="84"/>
      <c r="AT442" s="84"/>
      <c r="AU442" s="84"/>
      <c r="AV442" s="84"/>
      <c r="AY442" s="84"/>
      <c r="AZ442" s="84"/>
      <c r="BA442" s="84"/>
      <c r="BB442" s="84"/>
      <c r="BC442" s="84"/>
      <c r="BD442" s="84"/>
      <c r="BE442" s="84"/>
      <c r="BF442" s="942"/>
      <c r="BG442" s="942"/>
      <c r="BH442" s="942"/>
      <c r="BI442" s="84"/>
      <c r="BL442" s="84"/>
      <c r="BM442" s="84"/>
      <c r="BN442" s="84"/>
      <c r="BO442" s="84"/>
      <c r="BP442" s="84"/>
      <c r="BQ442" s="84"/>
      <c r="BR442" s="84"/>
      <c r="BS442" s="942"/>
      <c r="BT442" s="942"/>
      <c r="BU442" s="942"/>
      <c r="BV442" s="84"/>
    </row>
    <row r="443" spans="14:74" ht="14.25">
      <c r="N443" s="84"/>
      <c r="O443" s="84"/>
      <c r="P443" s="84"/>
      <c r="Q443" s="84"/>
      <c r="R443" s="84"/>
      <c r="S443" s="84"/>
      <c r="T443" s="84"/>
      <c r="U443" s="84"/>
      <c r="V443" s="84"/>
      <c r="W443" s="84"/>
      <c r="Y443" s="84"/>
      <c r="Z443" s="84"/>
      <c r="AA443" s="84"/>
      <c r="AB443" s="84"/>
      <c r="AC443" s="84"/>
      <c r="AD443" s="84"/>
      <c r="AE443" s="84"/>
      <c r="AF443" s="84"/>
      <c r="AG443" s="84"/>
      <c r="AH443" s="84"/>
      <c r="AI443" s="84"/>
      <c r="AL443" s="84"/>
      <c r="AM443" s="84"/>
      <c r="AN443" s="84"/>
      <c r="AO443" s="84"/>
      <c r="AP443" s="84"/>
      <c r="AQ443" s="84"/>
      <c r="AR443" s="84"/>
      <c r="AS443" s="84"/>
      <c r="AT443" s="84"/>
      <c r="AU443" s="84"/>
      <c r="AV443" s="84"/>
      <c r="AY443" s="84"/>
      <c r="AZ443" s="84"/>
      <c r="BA443" s="84"/>
      <c r="BB443" s="84"/>
      <c r="BC443" s="84"/>
      <c r="BD443" s="84"/>
      <c r="BE443" s="84"/>
      <c r="BF443" s="942"/>
      <c r="BG443" s="942"/>
      <c r="BH443" s="942"/>
      <c r="BI443" s="84"/>
      <c r="BL443" s="84"/>
      <c r="BM443" s="84"/>
      <c r="BN443" s="84"/>
      <c r="BO443" s="84"/>
      <c r="BP443" s="84"/>
      <c r="BQ443" s="84"/>
      <c r="BR443" s="84"/>
      <c r="BS443" s="942"/>
      <c r="BT443" s="942"/>
      <c r="BU443" s="942"/>
      <c r="BV443" s="84"/>
    </row>
    <row r="444" spans="14:74" ht="14.25">
      <c r="N444" s="84"/>
      <c r="O444" s="84"/>
      <c r="P444" s="84"/>
      <c r="Q444" s="84"/>
      <c r="R444" s="84"/>
      <c r="S444" s="84"/>
      <c r="T444" s="84"/>
      <c r="U444" s="84"/>
      <c r="V444" s="84"/>
      <c r="W444" s="84"/>
      <c r="Y444" s="84"/>
      <c r="Z444" s="84"/>
      <c r="AA444" s="84"/>
      <c r="AB444" s="84"/>
      <c r="AC444" s="84"/>
      <c r="AD444" s="84"/>
      <c r="AE444" s="84"/>
      <c r="AF444" s="84"/>
      <c r="AG444" s="84"/>
      <c r="AH444" s="84"/>
      <c r="AI444" s="84"/>
      <c r="AL444" s="84"/>
      <c r="AM444" s="84"/>
      <c r="AN444" s="84"/>
      <c r="AO444" s="84"/>
      <c r="AP444" s="84"/>
      <c r="AQ444" s="84"/>
      <c r="AR444" s="84"/>
      <c r="AS444" s="84"/>
      <c r="AT444" s="84"/>
      <c r="AU444" s="84"/>
      <c r="AV444" s="84"/>
      <c r="AY444" s="84"/>
      <c r="AZ444" s="84"/>
      <c r="BA444" s="84"/>
      <c r="BB444" s="84"/>
      <c r="BC444" s="84"/>
      <c r="BD444" s="84"/>
      <c r="BE444" s="84"/>
      <c r="BF444" s="942"/>
      <c r="BG444" s="942"/>
      <c r="BH444" s="942"/>
      <c r="BI444" s="84"/>
      <c r="BL444" s="84"/>
      <c r="BM444" s="84"/>
      <c r="BN444" s="84"/>
      <c r="BO444" s="84"/>
      <c r="BP444" s="84"/>
      <c r="BQ444" s="84"/>
      <c r="BR444" s="84"/>
      <c r="BS444" s="942"/>
      <c r="BT444" s="942"/>
      <c r="BU444" s="942"/>
      <c r="BV444" s="84"/>
    </row>
    <row r="445" spans="14:74" ht="14.25">
      <c r="N445" s="84"/>
      <c r="O445" s="84"/>
      <c r="P445" s="84"/>
      <c r="Q445" s="84"/>
      <c r="R445" s="84"/>
      <c r="S445" s="84"/>
      <c r="T445" s="84"/>
      <c r="U445" s="84"/>
      <c r="V445" s="84"/>
      <c r="W445" s="84"/>
      <c r="Y445" s="84"/>
      <c r="Z445" s="84"/>
      <c r="AA445" s="84"/>
      <c r="AB445" s="84"/>
      <c r="AC445" s="84"/>
      <c r="AD445" s="84"/>
      <c r="AE445" s="84"/>
      <c r="AF445" s="84"/>
      <c r="AG445" s="84"/>
      <c r="AH445" s="84"/>
      <c r="AI445" s="84"/>
      <c r="AL445" s="84"/>
      <c r="AM445" s="84"/>
      <c r="AN445" s="84"/>
      <c r="AO445" s="84"/>
      <c r="AP445" s="84"/>
      <c r="AQ445" s="84"/>
      <c r="AR445" s="84"/>
      <c r="AS445" s="84"/>
      <c r="AT445" s="84"/>
      <c r="AU445" s="84"/>
      <c r="AV445" s="84"/>
      <c r="AY445" s="84"/>
      <c r="AZ445" s="84"/>
      <c r="BA445" s="84"/>
      <c r="BB445" s="84"/>
      <c r="BC445" s="84"/>
      <c r="BD445" s="84"/>
      <c r="BE445" s="84"/>
      <c r="BF445" s="942"/>
      <c r="BG445" s="942"/>
      <c r="BH445" s="942"/>
      <c r="BI445" s="84"/>
      <c r="BL445" s="84"/>
      <c r="BM445" s="84"/>
      <c r="BN445" s="84"/>
      <c r="BO445" s="84"/>
      <c r="BP445" s="84"/>
      <c r="BQ445" s="84"/>
      <c r="BR445" s="84"/>
      <c r="BS445" s="942"/>
      <c r="BT445" s="942"/>
      <c r="BU445" s="942"/>
      <c r="BV445" s="84"/>
    </row>
    <row r="446" spans="14:74" ht="14.25">
      <c r="N446" s="84"/>
      <c r="O446" s="84"/>
      <c r="P446" s="84"/>
      <c r="Q446" s="84"/>
      <c r="R446" s="84"/>
      <c r="S446" s="84"/>
      <c r="T446" s="84"/>
      <c r="U446" s="84"/>
      <c r="V446" s="84"/>
      <c r="W446" s="84"/>
      <c r="Y446" s="84"/>
      <c r="Z446" s="84"/>
      <c r="AA446" s="84"/>
      <c r="AB446" s="84"/>
      <c r="AC446" s="84"/>
      <c r="AD446" s="84"/>
      <c r="AE446" s="84"/>
      <c r="AF446" s="84"/>
      <c r="AG446" s="84"/>
      <c r="AH446" s="84"/>
      <c r="AI446" s="84"/>
      <c r="AL446" s="84"/>
      <c r="AM446" s="84"/>
      <c r="AN446" s="84"/>
      <c r="AO446" s="84"/>
      <c r="AP446" s="84"/>
      <c r="AQ446" s="84"/>
      <c r="AR446" s="84"/>
      <c r="AS446" s="84"/>
      <c r="AT446" s="84"/>
      <c r="AU446" s="84"/>
      <c r="AV446" s="84"/>
      <c r="AY446" s="84"/>
      <c r="AZ446" s="84"/>
      <c r="BA446" s="84"/>
      <c r="BB446" s="84"/>
      <c r="BC446" s="84"/>
      <c r="BD446" s="84"/>
      <c r="BE446" s="84"/>
      <c r="BF446" s="942"/>
      <c r="BG446" s="942"/>
      <c r="BH446" s="942"/>
      <c r="BI446" s="84"/>
      <c r="BL446" s="84"/>
      <c r="BM446" s="84"/>
      <c r="BN446" s="84"/>
      <c r="BO446" s="84"/>
      <c r="BP446" s="84"/>
      <c r="BQ446" s="84"/>
      <c r="BR446" s="84"/>
      <c r="BS446" s="942"/>
      <c r="BT446" s="942"/>
      <c r="BU446" s="942"/>
      <c r="BV446" s="84"/>
    </row>
    <row r="447" spans="14:74" ht="14.25">
      <c r="N447" s="84"/>
      <c r="O447" s="84"/>
      <c r="P447" s="84"/>
      <c r="Q447" s="84"/>
      <c r="R447" s="84"/>
      <c r="S447" s="84"/>
      <c r="T447" s="84"/>
      <c r="U447" s="84"/>
      <c r="V447" s="84"/>
      <c r="W447" s="84"/>
      <c r="Y447" s="84"/>
      <c r="Z447" s="84"/>
      <c r="AA447" s="84"/>
      <c r="AB447" s="84"/>
      <c r="AC447" s="84"/>
      <c r="AD447" s="84"/>
      <c r="AE447" s="84"/>
      <c r="AF447" s="84"/>
      <c r="AG447" s="84"/>
      <c r="AH447" s="84"/>
      <c r="AI447" s="84"/>
      <c r="AL447" s="84"/>
      <c r="AM447" s="84"/>
      <c r="AN447" s="84"/>
      <c r="AO447" s="84"/>
      <c r="AP447" s="84"/>
      <c r="AQ447" s="84"/>
      <c r="AR447" s="84"/>
      <c r="AS447" s="84"/>
      <c r="AT447" s="84"/>
      <c r="AU447" s="84"/>
      <c r="AV447" s="84"/>
      <c r="AY447" s="84"/>
      <c r="AZ447" s="84"/>
      <c r="BA447" s="84"/>
      <c r="BB447" s="84"/>
      <c r="BC447" s="84"/>
      <c r="BD447" s="84"/>
      <c r="BE447" s="84"/>
      <c r="BF447" s="942"/>
      <c r="BG447" s="942"/>
      <c r="BH447" s="942"/>
      <c r="BI447" s="84"/>
      <c r="BL447" s="84"/>
      <c r="BM447" s="84"/>
      <c r="BN447" s="84"/>
      <c r="BO447" s="84"/>
      <c r="BP447" s="84"/>
      <c r="BQ447" s="84"/>
      <c r="BR447" s="84"/>
      <c r="BS447" s="942"/>
      <c r="BT447" s="942"/>
      <c r="BU447" s="942"/>
      <c r="BV447" s="84"/>
    </row>
    <row r="448" spans="14:74" ht="14.25">
      <c r="N448" s="84"/>
      <c r="O448" s="84"/>
      <c r="P448" s="84"/>
      <c r="Q448" s="84"/>
      <c r="R448" s="84"/>
      <c r="S448" s="84"/>
      <c r="T448" s="84"/>
      <c r="U448" s="84"/>
      <c r="V448" s="84"/>
      <c r="W448" s="84"/>
      <c r="Y448" s="84"/>
      <c r="Z448" s="84"/>
      <c r="AA448" s="84"/>
      <c r="AB448" s="84"/>
      <c r="AC448" s="84"/>
      <c r="AD448" s="84"/>
      <c r="AE448" s="84"/>
      <c r="AF448" s="84"/>
      <c r="AG448" s="84"/>
      <c r="AH448" s="84"/>
      <c r="AI448" s="84"/>
      <c r="AL448" s="84"/>
      <c r="AM448" s="84"/>
      <c r="AN448" s="84"/>
      <c r="AO448" s="84"/>
      <c r="AP448" s="84"/>
      <c r="AQ448" s="84"/>
      <c r="AR448" s="84"/>
      <c r="AS448" s="84"/>
      <c r="AT448" s="84"/>
      <c r="AU448" s="84"/>
      <c r="AV448" s="84"/>
      <c r="AY448" s="84"/>
      <c r="AZ448" s="84"/>
      <c r="BA448" s="84"/>
      <c r="BB448" s="84"/>
      <c r="BC448" s="84"/>
      <c r="BD448" s="84"/>
      <c r="BE448" s="84"/>
      <c r="BF448" s="942"/>
      <c r="BG448" s="942"/>
      <c r="BH448" s="942"/>
      <c r="BI448" s="84"/>
      <c r="BL448" s="84"/>
      <c r="BM448" s="84"/>
      <c r="BN448" s="84"/>
      <c r="BO448" s="84"/>
      <c r="BP448" s="84"/>
      <c r="BQ448" s="84"/>
      <c r="BR448" s="84"/>
      <c r="BS448" s="942"/>
      <c r="BT448" s="942"/>
      <c r="BU448" s="942"/>
      <c r="BV448" s="84"/>
    </row>
    <row r="449" spans="14:74" ht="14.25">
      <c r="N449" s="84"/>
      <c r="O449" s="84"/>
      <c r="P449" s="84"/>
      <c r="Q449" s="84"/>
      <c r="R449" s="84"/>
      <c r="S449" s="84"/>
      <c r="T449" s="84"/>
      <c r="U449" s="84"/>
      <c r="V449" s="84"/>
      <c r="W449" s="84"/>
      <c r="Y449" s="84"/>
      <c r="Z449" s="84"/>
      <c r="AA449" s="84"/>
      <c r="AB449" s="84"/>
      <c r="AC449" s="84"/>
      <c r="AD449" s="84"/>
      <c r="AE449" s="84"/>
      <c r="AF449" s="84"/>
      <c r="AG449" s="84"/>
      <c r="AH449" s="84"/>
      <c r="AI449" s="84"/>
      <c r="AL449" s="84"/>
      <c r="AM449" s="84"/>
      <c r="AN449" s="84"/>
      <c r="AO449" s="84"/>
      <c r="AP449" s="84"/>
      <c r="AQ449" s="84"/>
      <c r="AR449" s="84"/>
      <c r="AS449" s="84"/>
      <c r="AT449" s="84"/>
      <c r="AU449" s="84"/>
      <c r="AV449" s="84"/>
      <c r="AY449" s="84"/>
      <c r="AZ449" s="84"/>
      <c r="BA449" s="84"/>
      <c r="BB449" s="84"/>
      <c r="BC449" s="84"/>
      <c r="BD449" s="84"/>
      <c r="BE449" s="84"/>
      <c r="BF449" s="942"/>
      <c r="BG449" s="942"/>
      <c r="BH449" s="942"/>
      <c r="BI449" s="84"/>
      <c r="BL449" s="84"/>
      <c r="BM449" s="84"/>
      <c r="BN449" s="84"/>
      <c r="BO449" s="84"/>
      <c r="BP449" s="84"/>
      <c r="BQ449" s="84"/>
      <c r="BR449" s="84"/>
      <c r="BS449" s="942"/>
      <c r="BT449" s="942"/>
      <c r="BU449" s="942"/>
      <c r="BV449" s="84"/>
    </row>
    <row r="450" spans="14:74" ht="14.25">
      <c r="N450" s="84"/>
      <c r="O450" s="84"/>
      <c r="P450" s="84"/>
      <c r="Q450" s="84"/>
      <c r="R450" s="84"/>
      <c r="S450" s="84"/>
      <c r="T450" s="84"/>
      <c r="U450" s="84"/>
      <c r="V450" s="84"/>
      <c r="W450" s="84"/>
      <c r="Y450" s="84"/>
      <c r="Z450" s="84"/>
      <c r="AA450" s="84"/>
      <c r="AB450" s="84"/>
      <c r="AC450" s="84"/>
      <c r="AD450" s="84"/>
      <c r="AE450" s="84"/>
      <c r="AF450" s="84"/>
      <c r="AG450" s="84"/>
      <c r="AH450" s="84"/>
      <c r="AI450" s="84"/>
      <c r="AL450" s="84"/>
      <c r="AM450" s="84"/>
      <c r="AN450" s="84"/>
      <c r="AO450" s="84"/>
      <c r="AP450" s="84"/>
      <c r="AQ450" s="84"/>
      <c r="AR450" s="84"/>
      <c r="AS450" s="84"/>
      <c r="AT450" s="84"/>
      <c r="AU450" s="84"/>
      <c r="AV450" s="84"/>
      <c r="AY450" s="84"/>
      <c r="AZ450" s="84"/>
      <c r="BA450" s="84"/>
      <c r="BB450" s="84"/>
      <c r="BC450" s="84"/>
      <c r="BD450" s="84"/>
      <c r="BE450" s="84"/>
      <c r="BF450" s="942"/>
      <c r="BG450" s="942"/>
      <c r="BH450" s="942"/>
      <c r="BI450" s="84"/>
      <c r="BL450" s="84"/>
      <c r="BM450" s="84"/>
      <c r="BN450" s="84"/>
      <c r="BO450" s="84"/>
      <c r="BP450" s="84"/>
      <c r="BQ450" s="84"/>
      <c r="BR450" s="84"/>
      <c r="BS450" s="942"/>
      <c r="BT450" s="942"/>
      <c r="BU450" s="942"/>
      <c r="BV450" s="84"/>
    </row>
    <row r="451" spans="14:74" ht="14.25">
      <c r="N451" s="84"/>
      <c r="O451" s="84"/>
      <c r="P451" s="84"/>
      <c r="Q451" s="84"/>
      <c r="R451" s="84"/>
      <c r="S451" s="84"/>
      <c r="T451" s="84"/>
      <c r="U451" s="84"/>
      <c r="V451" s="84"/>
      <c r="W451" s="84"/>
      <c r="Y451" s="84"/>
      <c r="Z451" s="84"/>
      <c r="AA451" s="84"/>
      <c r="AB451" s="84"/>
      <c r="AC451" s="84"/>
      <c r="AD451" s="84"/>
      <c r="AE451" s="84"/>
      <c r="AF451" s="84"/>
      <c r="AG451" s="84"/>
      <c r="AH451" s="84"/>
      <c r="AI451" s="84"/>
      <c r="AL451" s="84"/>
      <c r="AM451" s="84"/>
      <c r="AN451" s="84"/>
      <c r="AO451" s="84"/>
      <c r="AP451" s="84"/>
      <c r="AQ451" s="84"/>
      <c r="AR451" s="84"/>
      <c r="AS451" s="84"/>
      <c r="AT451" s="84"/>
      <c r="AU451" s="84"/>
      <c r="AV451" s="84"/>
      <c r="AY451" s="84"/>
      <c r="AZ451" s="84"/>
      <c r="BA451" s="84"/>
      <c r="BB451" s="84"/>
      <c r="BC451" s="84"/>
      <c r="BD451" s="84"/>
      <c r="BE451" s="84"/>
      <c r="BF451" s="942"/>
      <c r="BG451" s="942"/>
      <c r="BH451" s="942"/>
      <c r="BI451" s="84"/>
      <c r="BL451" s="84"/>
      <c r="BM451" s="84"/>
      <c r="BN451" s="84"/>
      <c r="BO451" s="84"/>
      <c r="BP451" s="84"/>
      <c r="BQ451" s="84"/>
      <c r="BR451" s="84"/>
      <c r="BS451" s="942"/>
      <c r="BT451" s="942"/>
      <c r="BU451" s="942"/>
      <c r="BV451" s="84"/>
    </row>
    <row r="452" spans="14:74" ht="14.25">
      <c r="N452" s="84"/>
      <c r="O452" s="84"/>
      <c r="P452" s="84"/>
      <c r="Q452" s="84"/>
      <c r="R452" s="84"/>
      <c r="S452" s="84"/>
      <c r="T452" s="84"/>
      <c r="U452" s="84"/>
      <c r="V452" s="84"/>
      <c r="W452" s="84"/>
      <c r="Y452" s="84"/>
      <c r="Z452" s="84"/>
      <c r="AA452" s="84"/>
      <c r="AB452" s="84"/>
      <c r="AC452" s="84"/>
      <c r="AD452" s="84"/>
      <c r="AE452" s="84"/>
      <c r="AF452" s="84"/>
      <c r="AG452" s="84"/>
      <c r="AH452" s="84"/>
      <c r="AI452" s="84"/>
      <c r="AL452" s="84"/>
      <c r="AM452" s="84"/>
      <c r="AN452" s="84"/>
      <c r="AO452" s="84"/>
      <c r="AP452" s="84"/>
      <c r="AQ452" s="84"/>
      <c r="AR452" s="84"/>
      <c r="AS452" s="84"/>
      <c r="AT452" s="84"/>
      <c r="AU452" s="84"/>
      <c r="AV452" s="84"/>
      <c r="AY452" s="84"/>
      <c r="AZ452" s="84"/>
      <c r="BA452" s="84"/>
      <c r="BB452" s="84"/>
      <c r="BC452" s="84"/>
      <c r="BD452" s="84"/>
      <c r="BE452" s="84"/>
      <c r="BF452" s="942"/>
      <c r="BG452" s="942"/>
      <c r="BH452" s="942"/>
      <c r="BI452" s="84"/>
      <c r="BL452" s="84"/>
      <c r="BM452" s="84"/>
      <c r="BN452" s="84"/>
      <c r="BO452" s="84"/>
      <c r="BP452" s="84"/>
      <c r="BQ452" s="84"/>
      <c r="BR452" s="84"/>
      <c r="BS452" s="942"/>
      <c r="BT452" s="942"/>
      <c r="BU452" s="942"/>
      <c r="BV452" s="84"/>
    </row>
    <row r="453" spans="14:74" ht="14.25">
      <c r="N453" s="84"/>
      <c r="O453" s="84"/>
      <c r="P453" s="84"/>
      <c r="Q453" s="84"/>
      <c r="R453" s="84"/>
      <c r="S453" s="84"/>
      <c r="T453" s="84"/>
      <c r="U453" s="84"/>
      <c r="V453" s="84"/>
      <c r="W453" s="84"/>
      <c r="Y453" s="84"/>
      <c r="Z453" s="84"/>
      <c r="AA453" s="84"/>
      <c r="AB453" s="84"/>
      <c r="AC453" s="84"/>
      <c r="AD453" s="84"/>
      <c r="AE453" s="84"/>
      <c r="AF453" s="84"/>
      <c r="AG453" s="84"/>
      <c r="AH453" s="84"/>
      <c r="AI453" s="84"/>
      <c r="AL453" s="84"/>
      <c r="AM453" s="84"/>
      <c r="AN453" s="84"/>
      <c r="AO453" s="84"/>
      <c r="AP453" s="84"/>
      <c r="AQ453" s="84"/>
      <c r="AR453" s="84"/>
      <c r="AS453" s="84"/>
      <c r="AT453" s="84"/>
      <c r="AU453" s="84"/>
      <c r="AV453" s="84"/>
      <c r="AY453" s="84"/>
      <c r="AZ453" s="84"/>
      <c r="BA453" s="84"/>
      <c r="BB453" s="84"/>
      <c r="BC453" s="84"/>
      <c r="BD453" s="84"/>
      <c r="BE453" s="84"/>
      <c r="BF453" s="942"/>
      <c r="BG453" s="942"/>
      <c r="BH453" s="942"/>
      <c r="BI453" s="84"/>
      <c r="BL453" s="84"/>
      <c r="BM453" s="84"/>
      <c r="BN453" s="84"/>
      <c r="BO453" s="84"/>
      <c r="BP453" s="84"/>
      <c r="BQ453" s="84"/>
      <c r="BR453" s="84"/>
      <c r="BS453" s="942"/>
      <c r="BT453" s="942"/>
      <c r="BU453" s="942"/>
      <c r="BV453" s="84"/>
    </row>
    <row r="454" spans="14:74" ht="14.25">
      <c r="N454" s="84"/>
      <c r="O454" s="84"/>
      <c r="P454" s="84"/>
      <c r="Q454" s="84"/>
      <c r="R454" s="84"/>
      <c r="S454" s="84"/>
      <c r="T454" s="84"/>
      <c r="U454" s="84"/>
      <c r="V454" s="84"/>
      <c r="W454" s="84"/>
      <c r="Y454" s="84"/>
      <c r="Z454" s="84"/>
      <c r="AA454" s="84"/>
      <c r="AB454" s="84"/>
      <c r="AC454" s="84"/>
      <c r="AD454" s="84"/>
      <c r="AE454" s="84"/>
      <c r="AF454" s="84"/>
      <c r="AG454" s="84"/>
      <c r="AH454" s="84"/>
      <c r="AI454" s="84"/>
      <c r="AL454" s="84"/>
      <c r="AM454" s="84"/>
      <c r="AN454" s="84"/>
      <c r="AO454" s="84"/>
      <c r="AP454" s="84"/>
      <c r="AQ454" s="84"/>
      <c r="AR454" s="84"/>
      <c r="AS454" s="84"/>
      <c r="AT454" s="84"/>
      <c r="AU454" s="84"/>
      <c r="AV454" s="84"/>
      <c r="AY454" s="84"/>
      <c r="AZ454" s="84"/>
      <c r="BA454" s="84"/>
      <c r="BB454" s="84"/>
      <c r="BC454" s="84"/>
      <c r="BD454" s="84"/>
      <c r="BE454" s="84"/>
      <c r="BF454" s="942"/>
      <c r="BG454" s="942"/>
      <c r="BH454" s="942"/>
      <c r="BI454" s="84"/>
      <c r="BL454" s="84"/>
      <c r="BM454" s="84"/>
      <c r="BN454" s="84"/>
      <c r="BO454" s="84"/>
      <c r="BP454" s="84"/>
      <c r="BQ454" s="84"/>
      <c r="BR454" s="84"/>
      <c r="BS454" s="942"/>
      <c r="BT454" s="942"/>
      <c r="BU454" s="942"/>
      <c r="BV454" s="84"/>
    </row>
    <row r="455" spans="14:74" ht="14.25">
      <c r="N455" s="84"/>
      <c r="O455" s="84"/>
      <c r="P455" s="84"/>
      <c r="Q455" s="84"/>
      <c r="R455" s="84"/>
      <c r="S455" s="84"/>
      <c r="T455" s="84"/>
      <c r="U455" s="84"/>
      <c r="V455" s="84"/>
      <c r="W455" s="84"/>
      <c r="Y455" s="84"/>
      <c r="Z455" s="84"/>
      <c r="AA455" s="84"/>
      <c r="AB455" s="84"/>
      <c r="AC455" s="84"/>
      <c r="AD455" s="84"/>
      <c r="AE455" s="84"/>
      <c r="AF455" s="84"/>
      <c r="AG455" s="84"/>
      <c r="AH455" s="84"/>
      <c r="AI455" s="84"/>
      <c r="AL455" s="84"/>
      <c r="AM455" s="84"/>
      <c r="AN455" s="84"/>
      <c r="AO455" s="84"/>
      <c r="AP455" s="84"/>
      <c r="AQ455" s="84"/>
      <c r="AR455" s="84"/>
      <c r="AS455" s="84"/>
      <c r="AT455" s="84"/>
      <c r="AU455" s="84"/>
      <c r="AV455" s="84"/>
      <c r="AY455" s="84"/>
      <c r="AZ455" s="84"/>
      <c r="BA455" s="84"/>
      <c r="BB455" s="84"/>
      <c r="BC455" s="84"/>
      <c r="BD455" s="84"/>
      <c r="BE455" s="84"/>
      <c r="BF455" s="942"/>
      <c r="BG455" s="942"/>
      <c r="BH455" s="942"/>
      <c r="BI455" s="84"/>
      <c r="BL455" s="84"/>
      <c r="BM455" s="84"/>
      <c r="BN455" s="84"/>
      <c r="BO455" s="84"/>
      <c r="BP455" s="84"/>
      <c r="BQ455" s="84"/>
      <c r="BR455" s="84"/>
      <c r="BS455" s="942"/>
      <c r="BT455" s="942"/>
      <c r="BU455" s="942"/>
      <c r="BV455" s="84"/>
    </row>
    <row r="456" spans="14:74" ht="14.25">
      <c r="N456" s="84"/>
      <c r="O456" s="84"/>
      <c r="P456" s="84"/>
      <c r="Q456" s="84"/>
      <c r="R456" s="84"/>
      <c r="S456" s="84"/>
      <c r="T456" s="84"/>
      <c r="U456" s="84"/>
      <c r="V456" s="84"/>
      <c r="W456" s="84"/>
      <c r="Y456" s="84"/>
      <c r="Z456" s="84"/>
      <c r="AA456" s="84"/>
      <c r="AB456" s="84"/>
      <c r="AC456" s="84"/>
      <c r="AD456" s="84"/>
      <c r="AE456" s="84"/>
      <c r="AF456" s="84"/>
      <c r="AG456" s="84"/>
      <c r="AH456" s="84"/>
      <c r="AI456" s="84"/>
      <c r="AL456" s="84"/>
      <c r="AM456" s="84"/>
      <c r="AN456" s="84"/>
      <c r="AO456" s="84"/>
      <c r="AP456" s="84"/>
      <c r="AQ456" s="84"/>
      <c r="AR456" s="84"/>
      <c r="AS456" s="84"/>
      <c r="AT456" s="84"/>
      <c r="AU456" s="84"/>
      <c r="AV456" s="84"/>
      <c r="AY456" s="84"/>
      <c r="AZ456" s="84"/>
      <c r="BA456" s="84"/>
      <c r="BB456" s="84"/>
      <c r="BC456" s="84"/>
      <c r="BD456" s="84"/>
      <c r="BE456" s="84"/>
      <c r="BF456" s="942"/>
      <c r="BG456" s="942"/>
      <c r="BH456" s="942"/>
      <c r="BI456" s="84"/>
      <c r="BL456" s="84"/>
      <c r="BM456" s="84"/>
      <c r="BN456" s="84"/>
      <c r="BO456" s="84"/>
      <c r="BP456" s="84"/>
      <c r="BQ456" s="84"/>
      <c r="BR456" s="84"/>
      <c r="BS456" s="942"/>
      <c r="BT456" s="942"/>
      <c r="BU456" s="942"/>
      <c r="BV456" s="84"/>
    </row>
    <row r="457" spans="14:74" ht="14.25">
      <c r="N457" s="84"/>
      <c r="O457" s="84"/>
      <c r="P457" s="84"/>
      <c r="Q457" s="84"/>
      <c r="R457" s="84"/>
      <c r="S457" s="84"/>
      <c r="T457" s="84"/>
      <c r="U457" s="84"/>
      <c r="V457" s="84"/>
      <c r="W457" s="84"/>
      <c r="Y457" s="84"/>
      <c r="Z457" s="84"/>
      <c r="AA457" s="84"/>
      <c r="AB457" s="84"/>
      <c r="AC457" s="84"/>
      <c r="AD457" s="84"/>
      <c r="AE457" s="84"/>
      <c r="AF457" s="84"/>
      <c r="AG457" s="84"/>
      <c r="AH457" s="84"/>
      <c r="AI457" s="84"/>
      <c r="AL457" s="84"/>
      <c r="AM457" s="84"/>
      <c r="AN457" s="84"/>
      <c r="AO457" s="84"/>
      <c r="AP457" s="84"/>
      <c r="AQ457" s="84"/>
      <c r="AR457" s="84"/>
      <c r="AS457" s="84"/>
      <c r="AT457" s="84"/>
      <c r="AU457" s="84"/>
      <c r="AV457" s="84"/>
      <c r="AY457" s="84"/>
      <c r="AZ457" s="84"/>
      <c r="BA457" s="84"/>
      <c r="BB457" s="84"/>
      <c r="BC457" s="84"/>
      <c r="BD457" s="84"/>
      <c r="BE457" s="84"/>
      <c r="BF457" s="942"/>
      <c r="BG457" s="942"/>
      <c r="BH457" s="942"/>
      <c r="BI457" s="84"/>
      <c r="BL457" s="84"/>
      <c r="BM457" s="84"/>
      <c r="BN457" s="84"/>
      <c r="BO457" s="84"/>
      <c r="BP457" s="84"/>
      <c r="BQ457" s="84"/>
      <c r="BR457" s="84"/>
      <c r="BS457" s="942"/>
      <c r="BT457" s="942"/>
      <c r="BU457" s="942"/>
      <c r="BV457" s="84"/>
    </row>
    <row r="458" spans="14:74" ht="14.25">
      <c r="N458" s="84"/>
      <c r="O458" s="84"/>
      <c r="P458" s="84"/>
      <c r="Q458" s="84"/>
      <c r="R458" s="84"/>
      <c r="S458" s="84"/>
      <c r="T458" s="84"/>
      <c r="U458" s="84"/>
      <c r="V458" s="84"/>
      <c r="W458" s="84"/>
      <c r="Y458" s="84"/>
      <c r="Z458" s="84"/>
      <c r="AA458" s="84"/>
      <c r="AB458" s="84"/>
      <c r="AC458" s="84"/>
      <c r="AD458" s="84"/>
      <c r="AE458" s="84"/>
      <c r="AF458" s="84"/>
      <c r="AG458" s="84"/>
      <c r="AH458" s="84"/>
      <c r="AI458" s="84"/>
      <c r="AL458" s="84"/>
      <c r="AM458" s="84"/>
      <c r="AN458" s="84"/>
      <c r="AO458" s="84"/>
      <c r="AP458" s="84"/>
      <c r="AQ458" s="84"/>
      <c r="AR458" s="84"/>
      <c r="AS458" s="84"/>
      <c r="AT458" s="84"/>
      <c r="AU458" s="84"/>
      <c r="AV458" s="84"/>
      <c r="AY458" s="84"/>
      <c r="AZ458" s="84"/>
      <c r="BA458" s="84"/>
      <c r="BB458" s="84"/>
      <c r="BC458" s="84"/>
      <c r="BD458" s="84"/>
      <c r="BE458" s="84"/>
      <c r="BF458" s="942"/>
      <c r="BG458" s="942"/>
      <c r="BH458" s="942"/>
      <c r="BI458" s="84"/>
      <c r="BL458" s="84"/>
      <c r="BM458" s="84"/>
      <c r="BN458" s="84"/>
      <c r="BO458" s="84"/>
      <c r="BP458" s="84"/>
      <c r="BQ458" s="84"/>
      <c r="BR458" s="84"/>
      <c r="BS458" s="942"/>
      <c r="BT458" s="942"/>
      <c r="BU458" s="942"/>
      <c r="BV458" s="84"/>
    </row>
    <row r="459" spans="14:74" ht="14.25">
      <c r="N459" s="84"/>
      <c r="O459" s="84"/>
      <c r="P459" s="84"/>
      <c r="Q459" s="84"/>
      <c r="R459" s="84"/>
      <c r="S459" s="84"/>
      <c r="T459" s="84"/>
      <c r="U459" s="84"/>
      <c r="V459" s="84"/>
      <c r="W459" s="84"/>
      <c r="Y459" s="84"/>
      <c r="Z459" s="84"/>
      <c r="AA459" s="84"/>
      <c r="AB459" s="84"/>
      <c r="AC459" s="84"/>
      <c r="AD459" s="84"/>
      <c r="AE459" s="84"/>
      <c r="AF459" s="84"/>
      <c r="AG459" s="84"/>
      <c r="AH459" s="84"/>
      <c r="AI459" s="84"/>
      <c r="AL459" s="84"/>
      <c r="AM459" s="84"/>
      <c r="AN459" s="84"/>
      <c r="AO459" s="84"/>
      <c r="AP459" s="84"/>
      <c r="AQ459" s="84"/>
      <c r="AR459" s="84"/>
      <c r="AS459" s="84"/>
      <c r="AT459" s="84"/>
      <c r="AU459" s="84"/>
      <c r="AV459" s="84"/>
      <c r="AY459" s="84"/>
      <c r="AZ459" s="84"/>
      <c r="BA459" s="84"/>
      <c r="BB459" s="84"/>
      <c r="BC459" s="84"/>
      <c r="BD459" s="84"/>
      <c r="BE459" s="84"/>
      <c r="BF459" s="942"/>
      <c r="BG459" s="942"/>
      <c r="BH459" s="942"/>
      <c r="BI459" s="84"/>
      <c r="BL459" s="84"/>
      <c r="BM459" s="84"/>
      <c r="BN459" s="84"/>
      <c r="BO459" s="84"/>
      <c r="BP459" s="84"/>
      <c r="BQ459" s="84"/>
      <c r="BR459" s="84"/>
      <c r="BS459" s="942"/>
      <c r="BT459" s="942"/>
      <c r="BU459" s="942"/>
      <c r="BV459" s="84"/>
    </row>
    <row r="460" spans="14:74" ht="14.25">
      <c r="N460" s="84"/>
      <c r="O460" s="84"/>
      <c r="P460" s="84"/>
      <c r="Q460" s="84"/>
      <c r="R460" s="84"/>
      <c r="S460" s="84"/>
      <c r="T460" s="84"/>
      <c r="U460" s="84"/>
      <c r="V460" s="84"/>
      <c r="W460" s="84"/>
      <c r="Y460" s="84"/>
      <c r="Z460" s="84"/>
      <c r="AA460" s="84"/>
      <c r="AB460" s="84"/>
      <c r="AC460" s="84"/>
      <c r="AD460" s="84"/>
      <c r="AE460" s="84"/>
      <c r="AF460" s="84"/>
      <c r="AG460" s="84"/>
      <c r="AH460" s="84"/>
      <c r="AI460" s="84"/>
      <c r="AL460" s="84"/>
      <c r="AM460" s="84"/>
      <c r="AN460" s="84"/>
      <c r="AO460" s="84"/>
      <c r="AP460" s="84"/>
      <c r="AQ460" s="84"/>
      <c r="AR460" s="84"/>
      <c r="AS460" s="84"/>
      <c r="AT460" s="84"/>
      <c r="AU460" s="84"/>
      <c r="AV460" s="84"/>
      <c r="AY460" s="84"/>
      <c r="AZ460" s="84"/>
      <c r="BA460" s="84"/>
      <c r="BB460" s="84"/>
      <c r="BC460" s="84"/>
      <c r="BD460" s="84"/>
      <c r="BE460" s="84"/>
      <c r="BF460" s="942"/>
      <c r="BG460" s="942"/>
      <c r="BH460" s="942"/>
      <c r="BI460" s="84"/>
      <c r="BL460" s="84"/>
      <c r="BM460" s="84"/>
      <c r="BN460" s="84"/>
      <c r="BO460" s="84"/>
      <c r="BP460" s="84"/>
      <c r="BQ460" s="84"/>
      <c r="BR460" s="84"/>
      <c r="BS460" s="942"/>
      <c r="BT460" s="942"/>
      <c r="BU460" s="942"/>
      <c r="BV460" s="84"/>
    </row>
    <row r="461" spans="14:74" ht="14.25">
      <c r="N461" s="84"/>
      <c r="O461" s="84"/>
      <c r="P461" s="84"/>
      <c r="Q461" s="84"/>
      <c r="R461" s="84"/>
      <c r="S461" s="84"/>
      <c r="T461" s="84"/>
      <c r="U461" s="84"/>
      <c r="V461" s="84"/>
      <c r="W461" s="84"/>
      <c r="Y461" s="84"/>
      <c r="Z461" s="84"/>
      <c r="AA461" s="84"/>
      <c r="AB461" s="84"/>
      <c r="AC461" s="84"/>
      <c r="AD461" s="84"/>
      <c r="AE461" s="84"/>
      <c r="AF461" s="84"/>
      <c r="AG461" s="84"/>
      <c r="AH461" s="84"/>
      <c r="AI461" s="84"/>
      <c r="AL461" s="84"/>
      <c r="AM461" s="84"/>
      <c r="AN461" s="84"/>
      <c r="AO461" s="84"/>
      <c r="AP461" s="84"/>
      <c r="AQ461" s="84"/>
      <c r="AR461" s="84"/>
      <c r="AS461" s="84"/>
      <c r="AT461" s="84"/>
      <c r="AU461" s="84"/>
      <c r="AV461" s="84"/>
      <c r="AY461" s="84"/>
      <c r="AZ461" s="84"/>
      <c r="BA461" s="84"/>
      <c r="BB461" s="84"/>
      <c r="BC461" s="84"/>
      <c r="BD461" s="84"/>
      <c r="BE461" s="84"/>
      <c r="BF461" s="942"/>
      <c r="BG461" s="942"/>
      <c r="BH461" s="942"/>
      <c r="BI461" s="84"/>
      <c r="BL461" s="84"/>
      <c r="BM461" s="84"/>
      <c r="BN461" s="84"/>
      <c r="BO461" s="84"/>
      <c r="BP461" s="84"/>
      <c r="BQ461" s="84"/>
      <c r="BR461" s="84"/>
      <c r="BS461" s="942"/>
      <c r="BT461" s="942"/>
      <c r="BU461" s="942"/>
      <c r="BV461" s="84"/>
    </row>
    <row r="462" spans="14:74" ht="14.25">
      <c r="N462" s="84"/>
      <c r="O462" s="84"/>
      <c r="P462" s="84"/>
      <c r="Q462" s="84"/>
      <c r="R462" s="84"/>
      <c r="S462" s="84"/>
      <c r="T462" s="84"/>
      <c r="U462" s="84"/>
      <c r="V462" s="84"/>
      <c r="W462" s="84"/>
      <c r="Y462" s="84"/>
      <c r="Z462" s="84"/>
      <c r="AA462" s="84"/>
      <c r="AB462" s="84"/>
      <c r="AC462" s="84"/>
      <c r="AD462" s="84"/>
      <c r="AE462" s="84"/>
      <c r="AF462" s="84"/>
      <c r="AG462" s="84"/>
      <c r="AH462" s="84"/>
      <c r="AI462" s="84"/>
      <c r="AL462" s="84"/>
      <c r="AM462" s="84"/>
      <c r="AN462" s="84"/>
      <c r="AO462" s="84"/>
      <c r="AP462" s="84"/>
      <c r="AQ462" s="84"/>
      <c r="AR462" s="84"/>
      <c r="AS462" s="84"/>
      <c r="AT462" s="84"/>
      <c r="AU462" s="84"/>
      <c r="AV462" s="84"/>
      <c r="AY462" s="84"/>
      <c r="AZ462" s="84"/>
      <c r="BA462" s="84"/>
      <c r="BB462" s="84"/>
      <c r="BC462" s="84"/>
      <c r="BD462" s="84"/>
      <c r="BE462" s="84"/>
      <c r="BF462" s="942"/>
      <c r="BG462" s="942"/>
      <c r="BH462" s="942"/>
      <c r="BI462" s="84"/>
      <c r="BL462" s="84"/>
      <c r="BM462" s="84"/>
      <c r="BN462" s="84"/>
      <c r="BO462" s="84"/>
      <c r="BP462" s="84"/>
      <c r="BQ462" s="84"/>
      <c r="BR462" s="84"/>
      <c r="BS462" s="942"/>
      <c r="BT462" s="942"/>
      <c r="BU462" s="942"/>
      <c r="BV462" s="84"/>
    </row>
    <row r="463" spans="14:74" ht="14.25">
      <c r="N463" s="84"/>
      <c r="O463" s="84"/>
      <c r="P463" s="84"/>
      <c r="Q463" s="84"/>
      <c r="R463" s="84"/>
      <c r="S463" s="84"/>
      <c r="T463" s="84"/>
      <c r="U463" s="84"/>
      <c r="V463" s="84"/>
      <c r="W463" s="84"/>
      <c r="Y463" s="84"/>
      <c r="Z463" s="84"/>
      <c r="AA463" s="84"/>
      <c r="AB463" s="84"/>
      <c r="AC463" s="84"/>
      <c r="AD463" s="84"/>
      <c r="AE463" s="84"/>
      <c r="AF463" s="84"/>
      <c r="AG463" s="84"/>
      <c r="AH463" s="84"/>
      <c r="AI463" s="84"/>
      <c r="AL463" s="84"/>
      <c r="AM463" s="84"/>
      <c r="AN463" s="84"/>
      <c r="AO463" s="84"/>
      <c r="AP463" s="84"/>
      <c r="AQ463" s="84"/>
      <c r="AR463" s="84"/>
      <c r="AS463" s="84"/>
      <c r="AT463" s="84"/>
      <c r="AU463" s="84"/>
      <c r="AV463" s="84"/>
      <c r="AY463" s="84"/>
      <c r="AZ463" s="84"/>
      <c r="BA463" s="84"/>
      <c r="BB463" s="84"/>
      <c r="BC463" s="84"/>
      <c r="BD463" s="84"/>
      <c r="BE463" s="84"/>
      <c r="BF463" s="942"/>
      <c r="BG463" s="942"/>
      <c r="BH463" s="942"/>
      <c r="BI463" s="84"/>
      <c r="BL463" s="84"/>
      <c r="BM463" s="84"/>
      <c r="BN463" s="84"/>
      <c r="BO463" s="84"/>
      <c r="BP463" s="84"/>
      <c r="BQ463" s="84"/>
      <c r="BR463" s="84"/>
      <c r="BS463" s="942"/>
      <c r="BT463" s="942"/>
      <c r="BU463" s="942"/>
      <c r="BV463" s="84"/>
    </row>
    <row r="464" spans="14:74" ht="14.25">
      <c r="N464" s="84"/>
      <c r="O464" s="84"/>
      <c r="P464" s="84"/>
      <c r="Q464" s="84"/>
      <c r="R464" s="84"/>
      <c r="S464" s="84"/>
      <c r="T464" s="84"/>
      <c r="U464" s="84"/>
      <c r="V464" s="84"/>
      <c r="W464" s="84"/>
      <c r="Y464" s="84"/>
      <c r="Z464" s="84"/>
      <c r="AA464" s="84"/>
      <c r="AB464" s="84"/>
      <c r="AC464" s="84"/>
      <c r="AD464" s="84"/>
      <c r="AE464" s="84"/>
      <c r="AF464" s="84"/>
      <c r="AG464" s="84"/>
      <c r="AH464" s="84"/>
      <c r="AI464" s="84"/>
      <c r="AL464" s="84"/>
      <c r="AM464" s="84"/>
      <c r="AN464" s="84"/>
      <c r="AO464" s="84"/>
      <c r="AP464" s="84"/>
      <c r="AQ464" s="84"/>
      <c r="AR464" s="84"/>
      <c r="AS464" s="84"/>
      <c r="AT464" s="84"/>
      <c r="AU464" s="84"/>
      <c r="AV464" s="84"/>
      <c r="AY464" s="84"/>
      <c r="AZ464" s="84"/>
      <c r="BA464" s="84"/>
      <c r="BB464" s="84"/>
      <c r="BC464" s="84"/>
      <c r="BD464" s="84"/>
      <c r="BE464" s="84"/>
      <c r="BF464" s="942"/>
      <c r="BG464" s="942"/>
      <c r="BH464" s="942"/>
      <c r="BI464" s="84"/>
      <c r="BL464" s="84"/>
      <c r="BM464" s="84"/>
      <c r="BN464" s="84"/>
      <c r="BO464" s="84"/>
      <c r="BP464" s="84"/>
      <c r="BQ464" s="84"/>
      <c r="BR464" s="84"/>
      <c r="BS464" s="942"/>
      <c r="BT464" s="942"/>
      <c r="BU464" s="942"/>
      <c r="BV464" s="84"/>
    </row>
    <row r="465" spans="14:74" ht="14.25">
      <c r="N465" s="84"/>
      <c r="O465" s="84"/>
      <c r="P465" s="84"/>
      <c r="Q465" s="84"/>
      <c r="R465" s="84"/>
      <c r="S465" s="84"/>
      <c r="T465" s="84"/>
      <c r="U465" s="84"/>
      <c r="V465" s="84"/>
      <c r="W465" s="84"/>
      <c r="Y465" s="84"/>
      <c r="Z465" s="84"/>
      <c r="AA465" s="84"/>
      <c r="AB465" s="84"/>
      <c r="AC465" s="84"/>
      <c r="AD465" s="84"/>
      <c r="AE465" s="84"/>
      <c r="AF465" s="84"/>
      <c r="AG465" s="84"/>
      <c r="AH465" s="84"/>
      <c r="AI465" s="84"/>
      <c r="AL465" s="84"/>
      <c r="AM465" s="84"/>
      <c r="AN465" s="84"/>
      <c r="AO465" s="84"/>
      <c r="AP465" s="84"/>
      <c r="AQ465" s="84"/>
      <c r="AR465" s="84"/>
      <c r="AS465" s="84"/>
      <c r="AT465" s="84"/>
      <c r="AU465" s="84"/>
      <c r="AV465" s="84"/>
      <c r="AY465" s="84"/>
      <c r="AZ465" s="84"/>
      <c r="BA465" s="84"/>
      <c r="BB465" s="84"/>
      <c r="BC465" s="84"/>
      <c r="BD465" s="84"/>
      <c r="BE465" s="84"/>
      <c r="BF465" s="942"/>
      <c r="BG465" s="942"/>
      <c r="BH465" s="942"/>
      <c r="BI465" s="84"/>
      <c r="BL465" s="84"/>
      <c r="BM465" s="84"/>
      <c r="BN465" s="84"/>
      <c r="BO465" s="84"/>
      <c r="BP465" s="84"/>
      <c r="BQ465" s="84"/>
      <c r="BR465" s="84"/>
      <c r="BS465" s="942"/>
      <c r="BT465" s="942"/>
      <c r="BU465" s="942"/>
      <c r="BV465" s="84"/>
    </row>
    <row r="466" spans="14:74" ht="14.25">
      <c r="N466" s="84"/>
      <c r="O466" s="84"/>
      <c r="P466" s="84"/>
      <c r="Q466" s="84"/>
      <c r="R466" s="84"/>
      <c r="S466" s="84"/>
      <c r="T466" s="84"/>
      <c r="U466" s="84"/>
      <c r="V466" s="84"/>
      <c r="W466" s="84"/>
      <c r="Y466" s="84"/>
      <c r="Z466" s="84"/>
      <c r="AA466" s="84"/>
      <c r="AB466" s="84"/>
      <c r="AC466" s="84"/>
      <c r="AD466" s="84"/>
      <c r="AE466" s="84"/>
      <c r="AF466" s="84"/>
      <c r="AG466" s="84"/>
      <c r="AH466" s="84"/>
      <c r="AI466" s="84"/>
      <c r="AL466" s="84"/>
      <c r="AM466" s="84"/>
      <c r="AN466" s="84"/>
      <c r="AO466" s="84"/>
      <c r="AP466" s="84"/>
      <c r="AQ466" s="84"/>
      <c r="AR466" s="84"/>
      <c r="AS466" s="84"/>
      <c r="AT466" s="84"/>
      <c r="AU466" s="84"/>
      <c r="AV466" s="84"/>
      <c r="AY466" s="84"/>
      <c r="AZ466" s="84"/>
      <c r="BA466" s="84"/>
      <c r="BB466" s="84"/>
      <c r="BC466" s="84"/>
      <c r="BD466" s="84"/>
      <c r="BE466" s="84"/>
      <c r="BF466" s="942"/>
      <c r="BG466" s="942"/>
      <c r="BH466" s="942"/>
      <c r="BI466" s="84"/>
      <c r="BL466" s="84"/>
      <c r="BM466" s="84"/>
      <c r="BN466" s="84"/>
      <c r="BO466" s="84"/>
      <c r="BP466" s="84"/>
      <c r="BQ466" s="84"/>
      <c r="BR466" s="84"/>
      <c r="BS466" s="942"/>
      <c r="BT466" s="942"/>
      <c r="BU466" s="942"/>
      <c r="BV466" s="84"/>
    </row>
    <row r="467" spans="14:74" ht="14.25">
      <c r="N467" s="84"/>
      <c r="O467" s="84"/>
      <c r="P467" s="84"/>
      <c r="Q467" s="84"/>
      <c r="R467" s="84"/>
      <c r="S467" s="84"/>
      <c r="T467" s="84"/>
      <c r="U467" s="84"/>
      <c r="V467" s="84"/>
      <c r="W467" s="84"/>
      <c r="Y467" s="84"/>
      <c r="Z467" s="84"/>
      <c r="AA467" s="84"/>
      <c r="AB467" s="84"/>
      <c r="AC467" s="84"/>
      <c r="AD467" s="84"/>
      <c r="AE467" s="84"/>
      <c r="AF467" s="84"/>
      <c r="AG467" s="84"/>
      <c r="AH467" s="84"/>
      <c r="AI467" s="84"/>
      <c r="AL467" s="84"/>
      <c r="AM467" s="84"/>
      <c r="AN467" s="84"/>
      <c r="AO467" s="84"/>
      <c r="AP467" s="84"/>
      <c r="AQ467" s="84"/>
      <c r="AR467" s="84"/>
      <c r="AS467" s="84"/>
      <c r="AT467" s="84"/>
      <c r="AU467" s="84"/>
      <c r="AV467" s="84"/>
      <c r="AY467" s="84"/>
      <c r="AZ467" s="84"/>
      <c r="BA467" s="84"/>
      <c r="BB467" s="84"/>
      <c r="BC467" s="84"/>
      <c r="BD467" s="84"/>
      <c r="BE467" s="84"/>
      <c r="BF467" s="942"/>
      <c r="BG467" s="942"/>
      <c r="BH467" s="942"/>
      <c r="BI467" s="84"/>
      <c r="BL467" s="84"/>
      <c r="BM467" s="84"/>
      <c r="BN467" s="84"/>
      <c r="BO467" s="84"/>
      <c r="BP467" s="84"/>
      <c r="BQ467" s="84"/>
      <c r="BR467" s="84"/>
      <c r="BS467" s="942"/>
      <c r="BT467" s="942"/>
      <c r="BU467" s="942"/>
      <c r="BV467" s="84"/>
    </row>
    <row r="468" spans="14:74" ht="14.25">
      <c r="N468" s="84"/>
      <c r="O468" s="84"/>
      <c r="P468" s="84"/>
      <c r="Q468" s="84"/>
      <c r="R468" s="84"/>
      <c r="S468" s="84"/>
      <c r="T468" s="84"/>
      <c r="U468" s="84"/>
      <c r="V468" s="84"/>
      <c r="W468" s="84"/>
      <c r="Y468" s="84"/>
      <c r="Z468" s="84"/>
      <c r="AA468" s="84"/>
      <c r="AB468" s="84"/>
      <c r="AC468" s="84"/>
      <c r="AD468" s="84"/>
      <c r="AE468" s="84"/>
      <c r="AF468" s="84"/>
      <c r="AG468" s="84"/>
      <c r="AH468" s="84"/>
      <c r="AI468" s="84"/>
      <c r="AL468" s="84"/>
      <c r="AM468" s="84"/>
      <c r="AN468" s="84"/>
      <c r="AO468" s="84"/>
      <c r="AP468" s="84"/>
      <c r="AQ468" s="84"/>
      <c r="AR468" s="84"/>
      <c r="AS468" s="84"/>
      <c r="AT468" s="84"/>
      <c r="AU468" s="84"/>
      <c r="AV468" s="84"/>
      <c r="AY468" s="84"/>
      <c r="AZ468" s="84"/>
      <c r="BA468" s="84"/>
      <c r="BB468" s="84"/>
      <c r="BC468" s="84"/>
      <c r="BD468" s="84"/>
      <c r="BE468" s="84"/>
      <c r="BF468" s="942"/>
      <c r="BG468" s="942"/>
      <c r="BH468" s="942"/>
      <c r="BI468" s="84"/>
      <c r="BL468" s="84"/>
      <c r="BM468" s="84"/>
      <c r="BN468" s="84"/>
      <c r="BO468" s="84"/>
      <c r="BP468" s="84"/>
      <c r="BQ468" s="84"/>
      <c r="BR468" s="84"/>
      <c r="BS468" s="942"/>
      <c r="BT468" s="942"/>
      <c r="BU468" s="942"/>
      <c r="BV468" s="84"/>
    </row>
    <row r="469" spans="14:74" ht="14.25">
      <c r="N469" s="84"/>
      <c r="O469" s="84"/>
      <c r="P469" s="84"/>
      <c r="Q469" s="84"/>
      <c r="R469" s="84"/>
      <c r="S469" s="84"/>
      <c r="T469" s="84"/>
      <c r="U469" s="84"/>
      <c r="V469" s="84"/>
      <c r="W469" s="84"/>
      <c r="Y469" s="84"/>
      <c r="Z469" s="84"/>
      <c r="AA469" s="84"/>
      <c r="AB469" s="84"/>
      <c r="AC469" s="84"/>
      <c r="AD469" s="84"/>
      <c r="AE469" s="84"/>
      <c r="AF469" s="84"/>
      <c r="AG469" s="84"/>
      <c r="AH469" s="84"/>
      <c r="AI469" s="84"/>
      <c r="AL469" s="84"/>
      <c r="AM469" s="84"/>
      <c r="AN469" s="84"/>
      <c r="AO469" s="84"/>
      <c r="AP469" s="84"/>
      <c r="AQ469" s="84"/>
      <c r="AR469" s="84"/>
      <c r="AS469" s="84"/>
      <c r="AT469" s="84"/>
      <c r="AU469" s="84"/>
      <c r="AV469" s="84"/>
      <c r="AY469" s="84"/>
      <c r="AZ469" s="84"/>
      <c r="BA469" s="84"/>
      <c r="BB469" s="84"/>
      <c r="BC469" s="84"/>
      <c r="BD469" s="84"/>
      <c r="BE469" s="84"/>
      <c r="BF469" s="942"/>
      <c r="BG469" s="942"/>
      <c r="BH469" s="942"/>
      <c r="BI469" s="84"/>
      <c r="BL469" s="84"/>
      <c r="BM469" s="84"/>
      <c r="BN469" s="84"/>
      <c r="BO469" s="84"/>
      <c r="BP469" s="84"/>
      <c r="BQ469" s="84"/>
      <c r="BR469" s="84"/>
      <c r="BS469" s="942"/>
      <c r="BT469" s="942"/>
      <c r="BU469" s="942"/>
      <c r="BV469" s="84"/>
    </row>
    <row r="470" spans="14:74" ht="14.25">
      <c r="N470" s="84"/>
      <c r="O470" s="84"/>
      <c r="P470" s="84"/>
      <c r="Q470" s="84"/>
      <c r="R470" s="84"/>
      <c r="S470" s="84"/>
      <c r="T470" s="84"/>
      <c r="U470" s="84"/>
      <c r="V470" s="84"/>
      <c r="W470" s="84"/>
      <c r="Y470" s="84"/>
      <c r="Z470" s="84"/>
      <c r="AA470" s="84"/>
      <c r="AB470" s="84"/>
      <c r="AC470" s="84"/>
      <c r="AD470" s="84"/>
      <c r="AE470" s="84"/>
      <c r="AF470" s="84"/>
      <c r="AG470" s="84"/>
      <c r="AH470" s="84"/>
      <c r="AI470" s="84"/>
      <c r="AL470" s="84"/>
      <c r="AM470" s="84"/>
      <c r="AN470" s="84"/>
      <c r="AO470" s="84"/>
      <c r="AP470" s="84"/>
      <c r="AQ470" s="84"/>
      <c r="AR470" s="84"/>
      <c r="AS470" s="84"/>
      <c r="AT470" s="84"/>
      <c r="AU470" s="84"/>
      <c r="AV470" s="84"/>
      <c r="AY470" s="84"/>
      <c r="AZ470" s="84"/>
      <c r="BA470" s="84"/>
      <c r="BB470" s="84"/>
      <c r="BC470" s="84"/>
      <c r="BD470" s="84"/>
      <c r="BE470" s="84"/>
      <c r="BF470" s="942"/>
      <c r="BG470" s="942"/>
      <c r="BH470" s="942"/>
      <c r="BI470" s="84"/>
      <c r="BL470" s="84"/>
      <c r="BM470" s="84"/>
      <c r="BN470" s="84"/>
      <c r="BO470" s="84"/>
      <c r="BP470" s="84"/>
      <c r="BQ470" s="84"/>
      <c r="BR470" s="84"/>
      <c r="BS470" s="942"/>
      <c r="BT470" s="942"/>
      <c r="BU470" s="942"/>
      <c r="BV470" s="84"/>
    </row>
    <row r="471" spans="14:74" ht="14.25">
      <c r="N471" s="84"/>
      <c r="O471" s="84"/>
      <c r="P471" s="84"/>
      <c r="Q471" s="84"/>
      <c r="R471" s="84"/>
      <c r="S471" s="84"/>
      <c r="T471" s="84"/>
      <c r="U471" s="84"/>
      <c r="V471" s="84"/>
      <c r="W471" s="84"/>
      <c r="Y471" s="84"/>
      <c r="Z471" s="84"/>
      <c r="AA471" s="84"/>
      <c r="AB471" s="84"/>
      <c r="AC471" s="84"/>
      <c r="AD471" s="84"/>
      <c r="AE471" s="84"/>
      <c r="AF471" s="84"/>
      <c r="AG471" s="84"/>
      <c r="AH471" s="84"/>
      <c r="AI471" s="84"/>
      <c r="AL471" s="84"/>
      <c r="AM471" s="84"/>
      <c r="AN471" s="84"/>
      <c r="AO471" s="84"/>
      <c r="AP471" s="84"/>
      <c r="AQ471" s="84"/>
      <c r="AR471" s="84"/>
      <c r="AS471" s="84"/>
      <c r="AT471" s="84"/>
      <c r="AU471" s="84"/>
      <c r="AV471" s="84"/>
      <c r="AY471" s="84"/>
      <c r="AZ471" s="84"/>
      <c r="BA471" s="84"/>
      <c r="BB471" s="84"/>
      <c r="BC471" s="84"/>
      <c r="BD471" s="84"/>
      <c r="BE471" s="84"/>
      <c r="BF471" s="942"/>
      <c r="BG471" s="942"/>
      <c r="BH471" s="942"/>
      <c r="BI471" s="84"/>
      <c r="BL471" s="84"/>
      <c r="BM471" s="84"/>
      <c r="BN471" s="84"/>
      <c r="BO471" s="84"/>
      <c r="BP471" s="84"/>
      <c r="BQ471" s="84"/>
      <c r="BR471" s="84"/>
      <c r="BS471" s="942"/>
      <c r="BT471" s="942"/>
      <c r="BU471" s="942"/>
      <c r="BV471" s="84"/>
    </row>
    <row r="472" spans="14:74" ht="14.25">
      <c r="N472" s="84"/>
      <c r="O472" s="84"/>
      <c r="P472" s="84"/>
      <c r="Q472" s="84"/>
      <c r="R472" s="84"/>
      <c r="S472" s="84"/>
      <c r="T472" s="84"/>
      <c r="U472" s="84"/>
      <c r="V472" s="84"/>
      <c r="W472" s="84"/>
      <c r="Y472" s="84"/>
      <c r="Z472" s="84"/>
      <c r="AA472" s="84"/>
      <c r="AB472" s="84"/>
      <c r="AC472" s="84"/>
      <c r="AD472" s="84"/>
      <c r="AE472" s="84"/>
      <c r="AF472" s="84"/>
      <c r="AG472" s="84"/>
      <c r="AH472" s="84"/>
      <c r="AI472" s="84"/>
      <c r="AL472" s="84"/>
      <c r="AM472" s="84"/>
      <c r="AN472" s="84"/>
      <c r="AO472" s="84"/>
      <c r="AP472" s="84"/>
      <c r="AQ472" s="84"/>
      <c r="AR472" s="84"/>
      <c r="AS472" s="84"/>
      <c r="AT472" s="84"/>
      <c r="AU472" s="84"/>
      <c r="AV472" s="84"/>
      <c r="AY472" s="84"/>
      <c r="AZ472" s="84"/>
      <c r="BA472" s="84"/>
      <c r="BB472" s="84"/>
      <c r="BC472" s="84"/>
      <c r="BD472" s="84"/>
      <c r="BE472" s="84"/>
      <c r="BF472" s="942"/>
      <c r="BG472" s="942"/>
      <c r="BH472" s="942"/>
      <c r="BI472" s="84"/>
      <c r="BL472" s="84"/>
      <c r="BM472" s="84"/>
      <c r="BN472" s="84"/>
      <c r="BO472" s="84"/>
      <c r="BP472" s="84"/>
      <c r="BQ472" s="84"/>
      <c r="BR472" s="84"/>
      <c r="BS472" s="942"/>
      <c r="BT472" s="942"/>
      <c r="BU472" s="942"/>
      <c r="BV472" s="84"/>
    </row>
    <row r="473" spans="14:74" ht="14.25">
      <c r="N473" s="84"/>
      <c r="O473" s="84"/>
      <c r="P473" s="84"/>
      <c r="Q473" s="84"/>
      <c r="R473" s="84"/>
      <c r="S473" s="84"/>
      <c r="T473" s="84"/>
      <c r="U473" s="84"/>
      <c r="V473" s="84"/>
      <c r="W473" s="84"/>
      <c r="Y473" s="84"/>
      <c r="Z473" s="84"/>
      <c r="AA473" s="84"/>
      <c r="AB473" s="84"/>
      <c r="AC473" s="84"/>
      <c r="AD473" s="84"/>
      <c r="AE473" s="84"/>
      <c r="AF473" s="84"/>
      <c r="AG473" s="84"/>
      <c r="AH473" s="84"/>
      <c r="AI473" s="84"/>
      <c r="AL473" s="84"/>
      <c r="AM473" s="84"/>
      <c r="AN473" s="84"/>
      <c r="AO473" s="84"/>
      <c r="AP473" s="84"/>
      <c r="AQ473" s="84"/>
      <c r="AR473" s="84"/>
      <c r="AS473" s="84"/>
      <c r="AT473" s="84"/>
      <c r="AU473" s="84"/>
      <c r="AV473" s="84"/>
      <c r="AY473" s="84"/>
      <c r="AZ473" s="84"/>
      <c r="BA473" s="84"/>
      <c r="BB473" s="84"/>
      <c r="BC473" s="84"/>
      <c r="BD473" s="84"/>
      <c r="BE473" s="84"/>
      <c r="BF473" s="942"/>
      <c r="BG473" s="942"/>
      <c r="BH473" s="942"/>
      <c r="BI473" s="84"/>
      <c r="BL473" s="84"/>
      <c r="BM473" s="84"/>
      <c r="BN473" s="84"/>
      <c r="BO473" s="84"/>
      <c r="BP473" s="84"/>
      <c r="BQ473" s="84"/>
      <c r="BR473" s="84"/>
      <c r="BS473" s="942"/>
      <c r="BT473" s="942"/>
      <c r="BU473" s="942"/>
      <c r="BV473" s="84"/>
    </row>
    <row r="474" spans="14:74" ht="14.25">
      <c r="N474" s="84"/>
      <c r="O474" s="84"/>
      <c r="P474" s="84"/>
      <c r="Q474" s="84"/>
      <c r="R474" s="84"/>
      <c r="S474" s="84"/>
      <c r="T474" s="84"/>
      <c r="U474" s="84"/>
      <c r="V474" s="84"/>
      <c r="W474" s="84"/>
      <c r="Y474" s="84"/>
      <c r="Z474" s="84"/>
      <c r="AA474" s="84"/>
      <c r="AB474" s="84"/>
      <c r="AC474" s="84"/>
      <c r="AD474" s="84"/>
      <c r="AE474" s="84"/>
      <c r="AF474" s="84"/>
      <c r="AG474" s="84"/>
      <c r="AH474" s="84"/>
      <c r="AI474" s="84"/>
      <c r="AL474" s="84"/>
      <c r="AM474" s="84"/>
      <c r="AN474" s="84"/>
      <c r="AO474" s="84"/>
      <c r="AP474" s="84"/>
      <c r="AQ474" s="84"/>
      <c r="AR474" s="84"/>
      <c r="AS474" s="84"/>
      <c r="AT474" s="84"/>
      <c r="AU474" s="84"/>
      <c r="AV474" s="84"/>
      <c r="AY474" s="84"/>
      <c r="AZ474" s="84"/>
      <c r="BA474" s="84"/>
      <c r="BB474" s="84"/>
      <c r="BC474" s="84"/>
      <c r="BD474" s="84"/>
      <c r="BE474" s="84"/>
      <c r="BF474" s="942"/>
      <c r="BG474" s="942"/>
      <c r="BH474" s="942"/>
      <c r="BI474" s="84"/>
      <c r="BL474" s="84"/>
      <c r="BM474" s="84"/>
      <c r="BN474" s="84"/>
      <c r="BO474" s="84"/>
      <c r="BP474" s="84"/>
      <c r="BQ474" s="84"/>
      <c r="BR474" s="84"/>
      <c r="BS474" s="942"/>
      <c r="BT474" s="942"/>
      <c r="BU474" s="942"/>
      <c r="BV474" s="84"/>
    </row>
    <row r="475" spans="14:74" ht="14.25">
      <c r="N475" s="84"/>
      <c r="O475" s="84"/>
      <c r="P475" s="84"/>
      <c r="Q475" s="84"/>
      <c r="R475" s="84"/>
      <c r="S475" s="84"/>
      <c r="T475" s="84"/>
      <c r="U475" s="84"/>
      <c r="V475" s="84"/>
      <c r="W475" s="84"/>
      <c r="Y475" s="84"/>
      <c r="Z475" s="84"/>
      <c r="AA475" s="84"/>
      <c r="AB475" s="84"/>
      <c r="AC475" s="84"/>
      <c r="AD475" s="84"/>
      <c r="AE475" s="84"/>
      <c r="AF475" s="84"/>
      <c r="AG475" s="84"/>
      <c r="AH475" s="84"/>
      <c r="AI475" s="84"/>
      <c r="AL475" s="84"/>
      <c r="AM475" s="84"/>
      <c r="AN475" s="84"/>
      <c r="AO475" s="84"/>
      <c r="AP475" s="84"/>
      <c r="AQ475" s="84"/>
      <c r="AR475" s="84"/>
      <c r="AS475" s="84"/>
      <c r="AT475" s="84"/>
      <c r="AU475" s="84"/>
      <c r="AV475" s="84"/>
      <c r="AY475" s="84"/>
      <c r="AZ475" s="84"/>
      <c r="BA475" s="84"/>
      <c r="BB475" s="84"/>
      <c r="BC475" s="84"/>
      <c r="BD475" s="84"/>
      <c r="BE475" s="84"/>
      <c r="BF475" s="942"/>
      <c r="BG475" s="942"/>
      <c r="BH475" s="942"/>
      <c r="BI475" s="84"/>
      <c r="BL475" s="84"/>
      <c r="BM475" s="84"/>
      <c r="BN475" s="84"/>
      <c r="BO475" s="84"/>
      <c r="BP475" s="84"/>
      <c r="BQ475" s="84"/>
      <c r="BR475" s="84"/>
      <c r="BS475" s="942"/>
      <c r="BT475" s="942"/>
      <c r="BU475" s="942"/>
      <c r="BV475" s="84"/>
    </row>
    <row r="476" spans="14:74" ht="14.25">
      <c r="N476" s="84"/>
      <c r="O476" s="84"/>
      <c r="P476" s="84"/>
      <c r="Q476" s="84"/>
      <c r="R476" s="84"/>
      <c r="S476" s="84"/>
      <c r="T476" s="84"/>
      <c r="U476" s="84"/>
      <c r="V476" s="84"/>
      <c r="W476" s="84"/>
      <c r="Y476" s="84"/>
      <c r="Z476" s="84"/>
      <c r="AA476" s="84"/>
      <c r="AB476" s="84"/>
      <c r="AC476" s="84"/>
      <c r="AD476" s="84"/>
      <c r="AE476" s="84"/>
      <c r="AF476" s="84"/>
      <c r="AG476" s="84"/>
      <c r="AH476" s="84"/>
      <c r="AI476" s="84"/>
      <c r="AL476" s="84"/>
      <c r="AM476" s="84"/>
      <c r="AN476" s="84"/>
      <c r="AO476" s="84"/>
      <c r="AP476" s="84"/>
      <c r="AQ476" s="84"/>
      <c r="AR476" s="84"/>
      <c r="AS476" s="84"/>
      <c r="AT476" s="84"/>
      <c r="AU476" s="84"/>
      <c r="AV476" s="84"/>
      <c r="AY476" s="84"/>
      <c r="AZ476" s="84"/>
      <c r="BA476" s="84"/>
      <c r="BB476" s="84"/>
      <c r="BC476" s="84"/>
      <c r="BD476" s="84"/>
      <c r="BE476" s="84"/>
      <c r="BF476" s="942"/>
      <c r="BG476" s="942"/>
      <c r="BH476" s="942"/>
      <c r="BI476" s="84"/>
      <c r="BL476" s="84"/>
      <c r="BM476" s="84"/>
      <c r="BN476" s="84"/>
      <c r="BO476" s="84"/>
      <c r="BP476" s="84"/>
      <c r="BQ476" s="84"/>
      <c r="BR476" s="84"/>
      <c r="BS476" s="942"/>
      <c r="BT476" s="942"/>
      <c r="BU476" s="942"/>
      <c r="BV476" s="84"/>
    </row>
    <row r="477" spans="14:74" ht="14.25">
      <c r="N477" s="84"/>
      <c r="O477" s="84"/>
      <c r="P477" s="84"/>
      <c r="Q477" s="84"/>
      <c r="R477" s="84"/>
      <c r="S477" s="84"/>
      <c r="T477" s="84"/>
      <c r="U477" s="84"/>
      <c r="V477" s="84"/>
      <c r="W477" s="84"/>
      <c r="Y477" s="84"/>
      <c r="Z477" s="84"/>
      <c r="AA477" s="84"/>
      <c r="AB477" s="84"/>
      <c r="AC477" s="84"/>
      <c r="AD477" s="84"/>
      <c r="AE477" s="84"/>
      <c r="AF477" s="84"/>
      <c r="AG477" s="84"/>
      <c r="AH477" s="84"/>
      <c r="AI477" s="84"/>
      <c r="AL477" s="84"/>
      <c r="AM477" s="84"/>
      <c r="AN477" s="84"/>
      <c r="AO477" s="84"/>
      <c r="AP477" s="84"/>
      <c r="AQ477" s="84"/>
      <c r="AR477" s="84"/>
      <c r="AS477" s="84"/>
      <c r="AT477" s="84"/>
      <c r="AU477" s="84"/>
      <c r="AV477" s="84"/>
      <c r="AY477" s="84"/>
      <c r="AZ477" s="84"/>
      <c r="BA477" s="84"/>
      <c r="BB477" s="84"/>
      <c r="BC477" s="84"/>
      <c r="BD477" s="84"/>
      <c r="BE477" s="84"/>
      <c r="BF477" s="942"/>
      <c r="BG477" s="942"/>
      <c r="BH477" s="942"/>
      <c r="BI477" s="84"/>
      <c r="BL477" s="84"/>
      <c r="BM477" s="84"/>
      <c r="BN477" s="84"/>
      <c r="BO477" s="84"/>
      <c r="BP477" s="84"/>
      <c r="BQ477" s="84"/>
      <c r="BR477" s="84"/>
      <c r="BS477" s="942"/>
      <c r="BT477" s="942"/>
      <c r="BU477" s="942"/>
      <c r="BV477" s="84"/>
    </row>
    <row r="478" spans="14:74" ht="14.25">
      <c r="N478" s="84"/>
      <c r="O478" s="84"/>
      <c r="P478" s="84"/>
      <c r="Q478" s="84"/>
      <c r="R478" s="84"/>
      <c r="S478" s="84"/>
      <c r="T478" s="84"/>
      <c r="U478" s="84"/>
      <c r="V478" s="84"/>
      <c r="W478" s="84"/>
      <c r="Y478" s="84"/>
      <c r="Z478" s="84"/>
      <c r="AA478" s="84"/>
      <c r="AB478" s="84"/>
      <c r="AC478" s="84"/>
      <c r="AD478" s="84"/>
      <c r="AE478" s="84"/>
      <c r="AF478" s="84"/>
      <c r="AG478" s="84"/>
      <c r="AH478" s="84"/>
      <c r="AI478" s="84"/>
      <c r="AL478" s="84"/>
      <c r="AM478" s="84"/>
      <c r="AN478" s="84"/>
      <c r="AO478" s="84"/>
      <c r="AP478" s="84"/>
      <c r="AQ478" s="84"/>
      <c r="AR478" s="84"/>
      <c r="AS478" s="84"/>
      <c r="AT478" s="84"/>
      <c r="AU478" s="84"/>
      <c r="AV478" s="84"/>
      <c r="AY478" s="84"/>
      <c r="AZ478" s="84"/>
      <c r="BA478" s="84"/>
      <c r="BB478" s="84"/>
      <c r="BC478" s="84"/>
      <c r="BD478" s="84"/>
      <c r="BE478" s="84"/>
      <c r="BF478" s="942"/>
      <c r="BG478" s="942"/>
      <c r="BH478" s="942"/>
      <c r="BI478" s="84"/>
      <c r="BL478" s="84"/>
      <c r="BM478" s="84"/>
      <c r="BN478" s="84"/>
      <c r="BO478" s="84"/>
      <c r="BP478" s="84"/>
      <c r="BQ478" s="84"/>
      <c r="BR478" s="84"/>
      <c r="BS478" s="942"/>
      <c r="BT478" s="942"/>
      <c r="BU478" s="942"/>
      <c r="BV478" s="84"/>
    </row>
    <row r="479" spans="14:74" ht="14.25">
      <c r="N479" s="84"/>
      <c r="O479" s="84"/>
      <c r="P479" s="84"/>
      <c r="Q479" s="84"/>
      <c r="R479" s="84"/>
      <c r="S479" s="84"/>
      <c r="T479" s="84"/>
      <c r="U479" s="84"/>
      <c r="V479" s="84"/>
      <c r="W479" s="84"/>
      <c r="Y479" s="84"/>
      <c r="Z479" s="84"/>
      <c r="AA479" s="84"/>
      <c r="AB479" s="84"/>
      <c r="AC479" s="84"/>
      <c r="AD479" s="84"/>
      <c r="AE479" s="84"/>
      <c r="AF479" s="84"/>
      <c r="AG479" s="84"/>
      <c r="AH479" s="84"/>
      <c r="AI479" s="84"/>
      <c r="AL479" s="84"/>
      <c r="AM479" s="84"/>
      <c r="AN479" s="84"/>
      <c r="AO479" s="84"/>
      <c r="AP479" s="84"/>
      <c r="AQ479" s="84"/>
      <c r="AR479" s="84"/>
      <c r="AS479" s="84"/>
      <c r="AT479" s="84"/>
      <c r="AU479" s="84"/>
      <c r="AV479" s="84"/>
      <c r="AY479" s="84"/>
      <c r="AZ479" s="84"/>
      <c r="BA479" s="84"/>
      <c r="BB479" s="84"/>
      <c r="BC479" s="84"/>
      <c r="BD479" s="84"/>
      <c r="BE479" s="84"/>
      <c r="BF479" s="942"/>
      <c r="BG479" s="942"/>
      <c r="BH479" s="942"/>
      <c r="BI479" s="84"/>
      <c r="BL479" s="84"/>
      <c r="BM479" s="84"/>
      <c r="BN479" s="84"/>
      <c r="BO479" s="84"/>
      <c r="BP479" s="84"/>
      <c r="BQ479" s="84"/>
      <c r="BR479" s="84"/>
      <c r="BS479" s="942"/>
      <c r="BT479" s="942"/>
      <c r="BU479" s="942"/>
      <c r="BV479" s="84"/>
    </row>
    <row r="480" spans="14:74" ht="14.25">
      <c r="N480" s="84"/>
      <c r="O480" s="84"/>
      <c r="P480" s="84"/>
      <c r="Q480" s="84"/>
      <c r="R480" s="84"/>
      <c r="S480" s="84"/>
      <c r="T480" s="84"/>
      <c r="U480" s="84"/>
      <c r="V480" s="84"/>
      <c r="W480" s="84"/>
      <c r="Y480" s="84"/>
      <c r="Z480" s="84"/>
      <c r="AA480" s="84"/>
      <c r="AB480" s="84"/>
      <c r="AC480" s="84"/>
      <c r="AD480" s="84"/>
      <c r="AE480" s="84"/>
      <c r="AF480" s="84"/>
      <c r="AG480" s="84"/>
      <c r="AH480" s="84"/>
      <c r="AI480" s="84"/>
      <c r="AL480" s="84"/>
      <c r="AM480" s="84"/>
      <c r="AN480" s="84"/>
      <c r="AO480" s="84"/>
      <c r="AP480" s="84"/>
      <c r="AQ480" s="84"/>
      <c r="AR480" s="84"/>
      <c r="AS480" s="84"/>
      <c r="AT480" s="84"/>
      <c r="AU480" s="84"/>
      <c r="AV480" s="84"/>
      <c r="AY480" s="84"/>
      <c r="AZ480" s="84"/>
      <c r="BA480" s="84"/>
      <c r="BB480" s="84"/>
      <c r="BC480" s="84"/>
      <c r="BD480" s="84"/>
      <c r="BE480" s="84"/>
      <c r="BF480" s="942"/>
      <c r="BG480" s="942"/>
      <c r="BH480" s="942"/>
      <c r="BI480" s="84"/>
      <c r="BL480" s="84"/>
      <c r="BM480" s="84"/>
      <c r="BN480" s="84"/>
      <c r="BO480" s="84"/>
      <c r="BP480" s="84"/>
      <c r="BQ480" s="84"/>
      <c r="BR480" s="84"/>
      <c r="BS480" s="942"/>
      <c r="BT480" s="942"/>
      <c r="BU480" s="942"/>
      <c r="BV480" s="84"/>
    </row>
    <row r="481" spans="14:74" ht="14.25">
      <c r="N481" s="84"/>
      <c r="O481" s="84"/>
      <c r="P481" s="84"/>
      <c r="Q481" s="84"/>
      <c r="R481" s="84"/>
      <c r="S481" s="84"/>
      <c r="T481" s="84"/>
      <c r="U481" s="84"/>
      <c r="V481" s="84"/>
      <c r="W481" s="84"/>
      <c r="Y481" s="84"/>
      <c r="Z481" s="84"/>
      <c r="AA481" s="84"/>
      <c r="AB481" s="84"/>
      <c r="AC481" s="84"/>
      <c r="AD481" s="84"/>
      <c r="AE481" s="84"/>
      <c r="AF481" s="84"/>
      <c r="AG481" s="84"/>
      <c r="AH481" s="84"/>
      <c r="AI481" s="84"/>
      <c r="AL481" s="84"/>
      <c r="AM481" s="84"/>
      <c r="AN481" s="84"/>
      <c r="AO481" s="84"/>
      <c r="AP481" s="84"/>
      <c r="AQ481" s="84"/>
      <c r="AR481" s="84"/>
      <c r="AS481" s="84"/>
      <c r="AT481" s="84"/>
      <c r="AU481" s="84"/>
      <c r="AV481" s="84"/>
      <c r="AY481" s="84"/>
      <c r="AZ481" s="84"/>
      <c r="BA481" s="84"/>
      <c r="BB481" s="84"/>
      <c r="BC481" s="84"/>
      <c r="BD481" s="84"/>
      <c r="BE481" s="84"/>
      <c r="BF481" s="942"/>
      <c r="BG481" s="942"/>
      <c r="BH481" s="942"/>
      <c r="BI481" s="84"/>
      <c r="BL481" s="84"/>
      <c r="BM481" s="84"/>
      <c r="BN481" s="84"/>
      <c r="BO481" s="84"/>
      <c r="BP481" s="84"/>
      <c r="BQ481" s="84"/>
      <c r="BR481" s="84"/>
      <c r="BS481" s="942"/>
      <c r="BT481" s="942"/>
      <c r="BU481" s="942"/>
      <c r="BV481" s="84"/>
    </row>
    <row r="482" spans="14:74" ht="14.25">
      <c r="N482" s="84"/>
      <c r="O482" s="84"/>
      <c r="P482" s="84"/>
      <c r="Q482" s="84"/>
      <c r="R482" s="84"/>
      <c r="S482" s="84"/>
      <c r="T482" s="84"/>
      <c r="U482" s="84"/>
      <c r="V482" s="84"/>
      <c r="W482" s="84"/>
      <c r="Y482" s="84"/>
      <c r="Z482" s="84"/>
      <c r="AA482" s="84"/>
      <c r="AB482" s="84"/>
      <c r="AC482" s="84"/>
      <c r="AD482" s="84"/>
      <c r="AE482" s="84"/>
      <c r="AF482" s="84"/>
      <c r="AG482" s="84"/>
      <c r="AH482" s="84"/>
      <c r="AI482" s="84"/>
      <c r="AL482" s="84"/>
      <c r="AM482" s="84"/>
      <c r="AN482" s="84"/>
      <c r="AO482" s="84"/>
      <c r="AP482" s="84"/>
      <c r="AQ482" s="84"/>
      <c r="AR482" s="84"/>
      <c r="AS482" s="84"/>
      <c r="AT482" s="84"/>
      <c r="AU482" s="84"/>
      <c r="AV482" s="84"/>
      <c r="AY482" s="84"/>
      <c r="AZ482" s="84"/>
      <c r="BA482" s="84"/>
      <c r="BB482" s="84"/>
      <c r="BC482" s="84"/>
      <c r="BD482" s="84"/>
      <c r="BE482" s="84"/>
      <c r="BF482" s="942"/>
      <c r="BG482" s="942"/>
      <c r="BH482" s="942"/>
      <c r="BI482" s="84"/>
      <c r="BL482" s="84"/>
      <c r="BM482" s="84"/>
      <c r="BN482" s="84"/>
      <c r="BO482" s="84"/>
      <c r="BP482" s="84"/>
      <c r="BQ482" s="84"/>
      <c r="BR482" s="84"/>
      <c r="BS482" s="942"/>
      <c r="BT482" s="942"/>
      <c r="BU482" s="942"/>
      <c r="BV482" s="84"/>
    </row>
    <row r="483" spans="14:74" ht="14.25">
      <c r="N483" s="84"/>
      <c r="O483" s="84"/>
      <c r="P483" s="84"/>
      <c r="Q483" s="84"/>
      <c r="R483" s="84"/>
      <c r="S483" s="84"/>
      <c r="T483" s="84"/>
      <c r="U483" s="84"/>
      <c r="V483" s="84"/>
      <c r="W483" s="84"/>
      <c r="Y483" s="84"/>
      <c r="Z483" s="84"/>
      <c r="AA483" s="84"/>
      <c r="AB483" s="84"/>
      <c r="AC483" s="84"/>
      <c r="AD483" s="84"/>
      <c r="AE483" s="84"/>
      <c r="AF483" s="84"/>
      <c r="AG483" s="84"/>
      <c r="AH483" s="84"/>
      <c r="AI483" s="84"/>
      <c r="AL483" s="84"/>
      <c r="AM483" s="84"/>
      <c r="AN483" s="84"/>
      <c r="AO483" s="84"/>
      <c r="AP483" s="84"/>
      <c r="AQ483" s="84"/>
      <c r="AR483" s="84"/>
      <c r="AS483" s="84"/>
      <c r="AT483" s="84"/>
      <c r="AU483" s="84"/>
      <c r="AV483" s="84"/>
      <c r="AY483" s="84"/>
      <c r="AZ483" s="84"/>
      <c r="BA483" s="84"/>
      <c r="BB483" s="84"/>
      <c r="BC483" s="84"/>
      <c r="BD483" s="84"/>
      <c r="BE483" s="84"/>
      <c r="BF483" s="942"/>
      <c r="BG483" s="942"/>
      <c r="BH483" s="942"/>
      <c r="BI483" s="84"/>
      <c r="BL483" s="84"/>
      <c r="BM483" s="84"/>
      <c r="BN483" s="84"/>
      <c r="BO483" s="84"/>
      <c r="BP483" s="84"/>
      <c r="BQ483" s="84"/>
      <c r="BR483" s="84"/>
      <c r="BS483" s="942"/>
      <c r="BT483" s="942"/>
      <c r="BU483" s="942"/>
      <c r="BV483" s="84"/>
    </row>
    <row r="484" spans="14:74" ht="14.25">
      <c r="N484" s="84"/>
      <c r="O484" s="84"/>
      <c r="P484" s="84"/>
      <c r="Q484" s="84"/>
      <c r="R484" s="84"/>
      <c r="S484" s="84"/>
      <c r="T484" s="84"/>
      <c r="U484" s="84"/>
      <c r="V484" s="84"/>
      <c r="W484" s="84"/>
      <c r="Y484" s="84"/>
      <c r="Z484" s="84"/>
      <c r="AA484" s="84"/>
      <c r="AB484" s="84"/>
      <c r="AC484" s="84"/>
      <c r="AD484" s="84"/>
      <c r="AE484" s="84"/>
      <c r="AF484" s="84"/>
      <c r="AG484" s="84"/>
      <c r="AH484" s="84"/>
      <c r="AI484" s="84"/>
      <c r="AL484" s="84"/>
      <c r="AM484" s="84"/>
      <c r="AN484" s="84"/>
      <c r="AO484" s="84"/>
      <c r="AP484" s="84"/>
      <c r="AQ484" s="84"/>
      <c r="AR484" s="84"/>
      <c r="AS484" s="84"/>
      <c r="AT484" s="84"/>
      <c r="AU484" s="84"/>
      <c r="AV484" s="84"/>
      <c r="AY484" s="84"/>
      <c r="AZ484" s="84"/>
      <c r="BA484" s="84"/>
      <c r="BB484" s="84"/>
      <c r="BC484" s="84"/>
      <c r="BD484" s="84"/>
      <c r="BE484" s="84"/>
      <c r="BF484" s="942"/>
      <c r="BG484" s="942"/>
      <c r="BH484" s="942"/>
      <c r="BI484" s="84"/>
      <c r="BL484" s="84"/>
      <c r="BM484" s="84"/>
      <c r="BN484" s="84"/>
      <c r="BO484" s="84"/>
      <c r="BP484" s="84"/>
      <c r="BQ484" s="84"/>
      <c r="BR484" s="84"/>
      <c r="BS484" s="942"/>
      <c r="BT484" s="942"/>
      <c r="BU484" s="942"/>
      <c r="BV484" s="84"/>
    </row>
    <row r="485" spans="14:74" ht="14.25">
      <c r="N485" s="84"/>
      <c r="O485" s="84"/>
      <c r="P485" s="84"/>
      <c r="Q485" s="84"/>
      <c r="R485" s="84"/>
      <c r="S485" s="84"/>
      <c r="T485" s="84"/>
      <c r="U485" s="84"/>
      <c r="V485" s="84"/>
      <c r="W485" s="84"/>
      <c r="Y485" s="84"/>
      <c r="Z485" s="84"/>
      <c r="AA485" s="84"/>
      <c r="AB485" s="84"/>
      <c r="AC485" s="84"/>
      <c r="AD485" s="84"/>
      <c r="AE485" s="84"/>
      <c r="AF485" s="84"/>
      <c r="AG485" s="84"/>
      <c r="AH485" s="84"/>
      <c r="AI485" s="84"/>
      <c r="AL485" s="84"/>
      <c r="AM485" s="84"/>
      <c r="AN485" s="84"/>
      <c r="AO485" s="84"/>
      <c r="AP485" s="84"/>
      <c r="AQ485" s="84"/>
      <c r="AR485" s="84"/>
      <c r="AS485" s="84"/>
      <c r="AT485" s="84"/>
      <c r="AU485" s="84"/>
      <c r="AV485" s="84"/>
      <c r="AY485" s="84"/>
      <c r="AZ485" s="84"/>
      <c r="BA485" s="84"/>
      <c r="BB485" s="84"/>
      <c r="BC485" s="84"/>
      <c r="BD485" s="84"/>
      <c r="BE485" s="84"/>
      <c r="BF485" s="942"/>
      <c r="BG485" s="942"/>
      <c r="BH485" s="942"/>
      <c r="BI485" s="84"/>
      <c r="BL485" s="84"/>
      <c r="BM485" s="84"/>
      <c r="BN485" s="84"/>
      <c r="BO485" s="84"/>
      <c r="BP485" s="84"/>
      <c r="BQ485" s="84"/>
      <c r="BR485" s="84"/>
      <c r="BS485" s="942"/>
      <c r="BT485" s="942"/>
      <c r="BU485" s="942"/>
      <c r="BV485" s="84"/>
    </row>
    <row r="486" spans="14:74" ht="14.25">
      <c r="N486" s="84"/>
      <c r="O486" s="84"/>
      <c r="P486" s="84"/>
      <c r="Q486" s="84"/>
      <c r="R486" s="84"/>
      <c r="S486" s="84"/>
      <c r="T486" s="84"/>
      <c r="U486" s="84"/>
      <c r="V486" s="84"/>
      <c r="W486" s="84"/>
      <c r="Y486" s="84"/>
      <c r="Z486" s="84"/>
      <c r="AA486" s="84"/>
      <c r="AB486" s="84"/>
      <c r="AC486" s="84"/>
      <c r="AD486" s="84"/>
      <c r="AE486" s="84"/>
      <c r="AF486" s="84"/>
      <c r="AG486" s="84"/>
      <c r="AH486" s="84"/>
      <c r="AI486" s="84"/>
      <c r="AL486" s="84"/>
      <c r="AM486" s="84"/>
      <c r="AN486" s="84"/>
      <c r="AO486" s="84"/>
      <c r="AP486" s="84"/>
      <c r="AQ486" s="84"/>
      <c r="AR486" s="84"/>
      <c r="AS486" s="84"/>
      <c r="AT486" s="84"/>
      <c r="AU486" s="84"/>
      <c r="AV486" s="84"/>
      <c r="AY486" s="84"/>
      <c r="AZ486" s="84"/>
      <c r="BA486" s="84"/>
      <c r="BB486" s="84"/>
      <c r="BC486" s="84"/>
      <c r="BD486" s="84"/>
      <c r="BE486" s="84"/>
      <c r="BF486" s="942"/>
      <c r="BG486" s="942"/>
      <c r="BH486" s="942"/>
      <c r="BI486" s="84"/>
      <c r="BL486" s="84"/>
      <c r="BM486" s="84"/>
      <c r="BN486" s="84"/>
      <c r="BO486" s="84"/>
      <c r="BP486" s="84"/>
      <c r="BQ486" s="84"/>
      <c r="BR486" s="84"/>
      <c r="BS486" s="942"/>
      <c r="BT486" s="942"/>
      <c r="BU486" s="942"/>
      <c r="BV486" s="84"/>
    </row>
    <row r="487" spans="14:74" ht="14.25">
      <c r="N487" s="84"/>
      <c r="O487" s="84"/>
      <c r="P487" s="84"/>
      <c r="Q487" s="84"/>
      <c r="R487" s="84"/>
      <c r="S487" s="84"/>
      <c r="T487" s="84"/>
      <c r="U487" s="84"/>
      <c r="V487" s="84"/>
      <c r="W487" s="84"/>
      <c r="Y487" s="84"/>
      <c r="Z487" s="84"/>
      <c r="AA487" s="84"/>
      <c r="AB487" s="84"/>
      <c r="AC487" s="84"/>
      <c r="AD487" s="84"/>
      <c r="AE487" s="84"/>
      <c r="AF487" s="84"/>
      <c r="AG487" s="84"/>
      <c r="AH487" s="84"/>
      <c r="AI487" s="84"/>
      <c r="AL487" s="84"/>
      <c r="AM487" s="84"/>
      <c r="AN487" s="84"/>
      <c r="AO487" s="84"/>
      <c r="AP487" s="84"/>
      <c r="AQ487" s="84"/>
      <c r="AR487" s="84"/>
      <c r="AS487" s="84"/>
      <c r="AT487" s="84"/>
      <c r="AU487" s="84"/>
      <c r="AV487" s="84"/>
      <c r="AY487" s="84"/>
      <c r="AZ487" s="84"/>
      <c r="BA487" s="84"/>
      <c r="BB487" s="84"/>
      <c r="BC487" s="84"/>
      <c r="BD487" s="84"/>
      <c r="BE487" s="84"/>
      <c r="BF487" s="942"/>
      <c r="BG487" s="942"/>
      <c r="BH487" s="942"/>
      <c r="BI487" s="84"/>
      <c r="BL487" s="84"/>
      <c r="BM487" s="84"/>
      <c r="BN487" s="84"/>
      <c r="BO487" s="84"/>
      <c r="BP487" s="84"/>
      <c r="BQ487" s="84"/>
      <c r="BR487" s="84"/>
      <c r="BS487" s="942"/>
      <c r="BT487" s="942"/>
      <c r="BU487" s="942"/>
      <c r="BV487" s="84"/>
    </row>
    <row r="488" spans="14:74" ht="14.25">
      <c r="N488" s="84"/>
      <c r="O488" s="84"/>
      <c r="P488" s="84"/>
      <c r="Q488" s="84"/>
      <c r="R488" s="84"/>
      <c r="S488" s="84"/>
      <c r="T488" s="84"/>
      <c r="U488" s="84"/>
      <c r="V488" s="84"/>
      <c r="W488" s="84"/>
      <c r="Y488" s="84"/>
      <c r="Z488" s="84"/>
      <c r="AA488" s="84"/>
      <c r="AB488" s="84"/>
      <c r="AC488" s="84"/>
      <c r="AD488" s="84"/>
      <c r="AE488" s="84"/>
      <c r="AF488" s="84"/>
      <c r="AG488" s="84"/>
      <c r="AH488" s="84"/>
      <c r="AI488" s="84"/>
      <c r="AL488" s="84"/>
      <c r="AM488" s="84"/>
      <c r="AN488" s="84"/>
      <c r="AO488" s="84"/>
      <c r="AP488" s="84"/>
      <c r="AQ488" s="84"/>
      <c r="AR488" s="84"/>
      <c r="AS488" s="84"/>
      <c r="AT488" s="84"/>
      <c r="AU488" s="84"/>
      <c r="AV488" s="84"/>
      <c r="AY488" s="84"/>
      <c r="AZ488" s="84"/>
      <c r="BA488" s="84"/>
      <c r="BB488" s="84"/>
      <c r="BC488" s="84"/>
      <c r="BD488" s="84"/>
      <c r="BE488" s="84"/>
      <c r="BF488" s="942"/>
      <c r="BG488" s="942"/>
      <c r="BH488" s="942"/>
      <c r="BI488" s="84"/>
      <c r="BL488" s="84"/>
      <c r="BM488" s="84"/>
      <c r="BN488" s="84"/>
      <c r="BO488" s="84"/>
      <c r="BP488" s="84"/>
      <c r="BQ488" s="84"/>
      <c r="BR488" s="84"/>
      <c r="BS488" s="942"/>
      <c r="BT488" s="942"/>
      <c r="BU488" s="942"/>
      <c r="BV488" s="84"/>
    </row>
    <row r="489" spans="14:74" ht="14.25">
      <c r="N489" s="84"/>
      <c r="O489" s="84"/>
      <c r="P489" s="84"/>
      <c r="Q489" s="84"/>
      <c r="R489" s="84"/>
      <c r="S489" s="84"/>
      <c r="T489" s="84"/>
      <c r="U489" s="84"/>
      <c r="V489" s="84"/>
      <c r="W489" s="84"/>
      <c r="Y489" s="84"/>
      <c r="Z489" s="84"/>
      <c r="AA489" s="84"/>
      <c r="AB489" s="84"/>
      <c r="AC489" s="84"/>
      <c r="AD489" s="84"/>
      <c r="AE489" s="84"/>
      <c r="AF489" s="84"/>
      <c r="AG489" s="84"/>
      <c r="AH489" s="84"/>
      <c r="AI489" s="84"/>
      <c r="AL489" s="84"/>
      <c r="AM489" s="84"/>
      <c r="AN489" s="84"/>
      <c r="AO489" s="84"/>
      <c r="AP489" s="84"/>
      <c r="AQ489" s="84"/>
      <c r="AR489" s="84"/>
      <c r="AS489" s="84"/>
      <c r="AT489" s="84"/>
      <c r="AU489" s="84"/>
      <c r="AV489" s="84"/>
      <c r="AY489" s="84"/>
      <c r="AZ489" s="84"/>
      <c r="BA489" s="84"/>
      <c r="BB489" s="84"/>
      <c r="BC489" s="84"/>
      <c r="BD489" s="84"/>
      <c r="BE489" s="84"/>
      <c r="BF489" s="942"/>
      <c r="BG489" s="942"/>
      <c r="BH489" s="942"/>
      <c r="BI489" s="84"/>
      <c r="BL489" s="84"/>
      <c r="BM489" s="84"/>
      <c r="BN489" s="84"/>
      <c r="BO489" s="84"/>
      <c r="BP489" s="84"/>
      <c r="BQ489" s="84"/>
      <c r="BR489" s="84"/>
      <c r="BS489" s="942"/>
      <c r="BT489" s="942"/>
      <c r="BU489" s="942"/>
      <c r="BV489" s="84"/>
    </row>
    <row r="490" spans="14:74" ht="14.25">
      <c r="N490" s="84"/>
      <c r="O490" s="84"/>
      <c r="P490" s="84"/>
      <c r="Q490" s="84"/>
      <c r="R490" s="84"/>
      <c r="S490" s="84"/>
      <c r="T490" s="84"/>
      <c r="U490" s="84"/>
      <c r="V490" s="84"/>
      <c r="W490" s="84"/>
      <c r="Y490" s="84"/>
      <c r="Z490" s="84"/>
      <c r="AA490" s="84"/>
      <c r="AB490" s="84"/>
      <c r="AC490" s="84"/>
      <c r="AD490" s="84"/>
      <c r="AE490" s="84"/>
      <c r="AF490" s="84"/>
      <c r="AG490" s="84"/>
      <c r="AH490" s="84"/>
      <c r="AI490" s="84"/>
      <c r="AL490" s="84"/>
      <c r="AM490" s="84"/>
      <c r="AN490" s="84"/>
      <c r="AO490" s="84"/>
      <c r="AP490" s="84"/>
      <c r="AQ490" s="84"/>
      <c r="AR490" s="84"/>
      <c r="AS490" s="84"/>
      <c r="AT490" s="84"/>
      <c r="AU490" s="84"/>
      <c r="AV490" s="84"/>
      <c r="AY490" s="84"/>
      <c r="AZ490" s="84"/>
      <c r="BA490" s="84"/>
      <c r="BB490" s="84"/>
      <c r="BC490" s="84"/>
      <c r="BD490" s="84"/>
      <c r="BE490" s="84"/>
      <c r="BF490" s="942"/>
      <c r="BG490" s="942"/>
      <c r="BH490" s="942"/>
      <c r="BI490" s="84"/>
      <c r="BL490" s="84"/>
      <c r="BM490" s="84"/>
      <c r="BN490" s="84"/>
      <c r="BO490" s="84"/>
      <c r="BP490" s="84"/>
      <c r="BQ490" s="84"/>
      <c r="BR490" s="84"/>
      <c r="BS490" s="942"/>
      <c r="BT490" s="942"/>
      <c r="BU490" s="942"/>
      <c r="BV490" s="84"/>
    </row>
    <row r="491" spans="14:74" ht="14.25">
      <c r="N491" s="84"/>
      <c r="O491" s="84"/>
      <c r="P491" s="84"/>
      <c r="Q491" s="84"/>
      <c r="R491" s="84"/>
      <c r="S491" s="84"/>
      <c r="T491" s="84"/>
      <c r="U491" s="84"/>
      <c r="V491" s="84"/>
      <c r="W491" s="84"/>
      <c r="Y491" s="84"/>
      <c r="Z491" s="84"/>
      <c r="AA491" s="84"/>
      <c r="AB491" s="84"/>
      <c r="AC491" s="84"/>
      <c r="AD491" s="84"/>
      <c r="AE491" s="84"/>
      <c r="AF491" s="84"/>
      <c r="AG491" s="84"/>
      <c r="AH491" s="84"/>
      <c r="AI491" s="84"/>
      <c r="AL491" s="84"/>
      <c r="AM491" s="84"/>
      <c r="AN491" s="84"/>
      <c r="AO491" s="84"/>
      <c r="AP491" s="84"/>
      <c r="AQ491" s="84"/>
      <c r="AR491" s="84"/>
      <c r="AS491" s="84"/>
      <c r="AT491" s="84"/>
      <c r="AU491" s="84"/>
      <c r="AV491" s="84"/>
      <c r="AY491" s="84"/>
      <c r="AZ491" s="84"/>
      <c r="BA491" s="84"/>
      <c r="BB491" s="84"/>
      <c r="BC491" s="84"/>
      <c r="BD491" s="84"/>
      <c r="BE491" s="84"/>
      <c r="BF491" s="942"/>
      <c r="BG491" s="942"/>
      <c r="BH491" s="942"/>
      <c r="BI491" s="84"/>
      <c r="BL491" s="84"/>
      <c r="BM491" s="84"/>
      <c r="BN491" s="84"/>
      <c r="BO491" s="84"/>
      <c r="BP491" s="84"/>
      <c r="BQ491" s="84"/>
      <c r="BR491" s="84"/>
      <c r="BS491" s="942"/>
      <c r="BT491" s="942"/>
      <c r="BU491" s="942"/>
      <c r="BV491" s="84"/>
    </row>
    <row r="492" spans="14:74" ht="14.25">
      <c r="N492" s="84"/>
      <c r="O492" s="84"/>
      <c r="P492" s="84"/>
      <c r="Q492" s="84"/>
      <c r="R492" s="84"/>
      <c r="S492" s="84"/>
      <c r="T492" s="84"/>
      <c r="U492" s="84"/>
      <c r="V492" s="84"/>
      <c r="W492" s="84"/>
      <c r="Y492" s="84"/>
      <c r="Z492" s="84"/>
      <c r="AA492" s="84"/>
      <c r="AB492" s="84"/>
      <c r="AC492" s="84"/>
      <c r="AD492" s="84"/>
      <c r="AE492" s="84"/>
      <c r="AF492" s="84"/>
      <c r="AG492" s="84"/>
      <c r="AH492" s="84"/>
      <c r="AI492" s="84"/>
      <c r="AL492" s="84"/>
      <c r="AM492" s="84"/>
      <c r="AN492" s="84"/>
      <c r="AO492" s="84"/>
      <c r="AP492" s="84"/>
      <c r="AQ492" s="84"/>
      <c r="AR492" s="84"/>
      <c r="AS492" s="84"/>
      <c r="AT492" s="84"/>
      <c r="AU492" s="84"/>
      <c r="AV492" s="84"/>
      <c r="AY492" s="84"/>
      <c r="AZ492" s="84"/>
      <c r="BA492" s="84"/>
      <c r="BB492" s="84"/>
      <c r="BC492" s="84"/>
      <c r="BD492" s="84"/>
      <c r="BE492" s="84"/>
      <c r="BF492" s="942"/>
      <c r="BG492" s="942"/>
      <c r="BH492" s="942"/>
      <c r="BI492" s="84"/>
      <c r="BL492" s="84"/>
      <c r="BM492" s="84"/>
      <c r="BN492" s="84"/>
      <c r="BO492" s="84"/>
      <c r="BP492" s="84"/>
      <c r="BQ492" s="84"/>
      <c r="BR492" s="84"/>
      <c r="BS492" s="942"/>
      <c r="BT492" s="942"/>
      <c r="BU492" s="942"/>
      <c r="BV492" s="84"/>
    </row>
    <row r="493" spans="14:74" ht="14.25">
      <c r="N493" s="84"/>
      <c r="O493" s="84"/>
      <c r="P493" s="84"/>
      <c r="Q493" s="84"/>
      <c r="R493" s="84"/>
      <c r="S493" s="84"/>
      <c r="T493" s="84"/>
      <c r="U493" s="84"/>
      <c r="V493" s="84"/>
      <c r="W493" s="84"/>
      <c r="Y493" s="84"/>
      <c r="Z493" s="84"/>
      <c r="AA493" s="84"/>
      <c r="AB493" s="84"/>
      <c r="AC493" s="84"/>
      <c r="AD493" s="84"/>
      <c r="AE493" s="84"/>
      <c r="AF493" s="84"/>
      <c r="AG493" s="84"/>
      <c r="AH493" s="84"/>
      <c r="AI493" s="84"/>
      <c r="AL493" s="84"/>
      <c r="AM493" s="84"/>
      <c r="AN493" s="84"/>
      <c r="AO493" s="84"/>
      <c r="AP493" s="84"/>
      <c r="AQ493" s="84"/>
      <c r="AR493" s="84"/>
      <c r="AS493" s="84"/>
      <c r="AT493" s="84"/>
      <c r="AU493" s="84"/>
      <c r="AV493" s="84"/>
      <c r="AY493" s="84"/>
      <c r="AZ493" s="84"/>
      <c r="BA493" s="84"/>
      <c r="BB493" s="84"/>
      <c r="BC493" s="84"/>
      <c r="BD493" s="84"/>
      <c r="BE493" s="84"/>
      <c r="BF493" s="942"/>
      <c r="BG493" s="942"/>
      <c r="BH493" s="942"/>
      <c r="BI493" s="84"/>
      <c r="BL493" s="84"/>
      <c r="BM493" s="84"/>
      <c r="BN493" s="84"/>
      <c r="BO493" s="84"/>
      <c r="BP493" s="84"/>
      <c r="BQ493" s="84"/>
      <c r="BR493" s="84"/>
      <c r="BS493" s="942"/>
      <c r="BT493" s="942"/>
      <c r="BU493" s="942"/>
      <c r="BV493" s="84"/>
    </row>
    <row r="494" spans="14:74" ht="14.25">
      <c r="N494" s="84"/>
      <c r="O494" s="84"/>
      <c r="P494" s="84"/>
      <c r="Q494" s="84"/>
      <c r="R494" s="84"/>
      <c r="S494" s="84"/>
      <c r="T494" s="84"/>
      <c r="U494" s="84"/>
      <c r="V494" s="84"/>
      <c r="W494" s="84"/>
      <c r="Y494" s="84"/>
      <c r="Z494" s="84"/>
      <c r="AA494" s="84"/>
      <c r="AB494" s="84"/>
      <c r="AC494" s="84"/>
      <c r="AD494" s="84"/>
      <c r="AE494" s="84"/>
      <c r="AF494" s="84"/>
      <c r="AG494" s="84"/>
      <c r="AH494" s="84"/>
      <c r="AI494" s="84"/>
      <c r="AL494" s="84"/>
      <c r="AM494" s="84"/>
      <c r="AN494" s="84"/>
      <c r="AO494" s="84"/>
      <c r="AP494" s="84"/>
      <c r="AQ494" s="84"/>
      <c r="AR494" s="84"/>
      <c r="AS494" s="84"/>
      <c r="AT494" s="84"/>
      <c r="AU494" s="84"/>
      <c r="AV494" s="84"/>
      <c r="AY494" s="84"/>
      <c r="AZ494" s="84"/>
      <c r="BA494" s="84"/>
      <c r="BB494" s="84"/>
      <c r="BC494" s="84"/>
      <c r="BD494" s="84"/>
      <c r="BE494" s="84"/>
      <c r="BF494" s="942"/>
      <c r="BG494" s="942"/>
      <c r="BH494" s="942"/>
      <c r="BI494" s="84"/>
      <c r="BL494" s="84"/>
      <c r="BM494" s="84"/>
      <c r="BN494" s="84"/>
      <c r="BO494" s="84"/>
      <c r="BP494" s="84"/>
      <c r="BQ494" s="84"/>
      <c r="BR494" s="84"/>
      <c r="BS494" s="942"/>
      <c r="BT494" s="942"/>
      <c r="BU494" s="942"/>
      <c r="BV494" s="84"/>
    </row>
    <row r="495" spans="14:74" ht="14.25">
      <c r="N495" s="84"/>
      <c r="O495" s="84"/>
      <c r="P495" s="84"/>
      <c r="Q495" s="84"/>
      <c r="R495" s="84"/>
      <c r="S495" s="84"/>
      <c r="T495" s="84"/>
      <c r="U495" s="84"/>
      <c r="V495" s="84"/>
      <c r="W495" s="84"/>
      <c r="Y495" s="84"/>
      <c r="Z495" s="84"/>
      <c r="AA495" s="84"/>
      <c r="AB495" s="84"/>
      <c r="AC495" s="84"/>
      <c r="AD495" s="84"/>
      <c r="AE495" s="84"/>
      <c r="AF495" s="84"/>
      <c r="AG495" s="84"/>
      <c r="AH495" s="84"/>
      <c r="AI495" s="84"/>
      <c r="AL495" s="84"/>
      <c r="AM495" s="84"/>
      <c r="AN495" s="84"/>
      <c r="AO495" s="84"/>
      <c r="AP495" s="84"/>
      <c r="AQ495" s="84"/>
      <c r="AR495" s="84"/>
      <c r="AS495" s="84"/>
      <c r="AT495" s="84"/>
      <c r="AU495" s="84"/>
      <c r="AV495" s="84"/>
      <c r="AY495" s="84"/>
      <c r="AZ495" s="84"/>
      <c r="BA495" s="84"/>
      <c r="BB495" s="84"/>
      <c r="BC495" s="84"/>
      <c r="BD495" s="84"/>
      <c r="BE495" s="84"/>
      <c r="BF495" s="942"/>
      <c r="BG495" s="942"/>
      <c r="BH495" s="942"/>
      <c r="BI495" s="84"/>
      <c r="BL495" s="84"/>
      <c r="BM495" s="84"/>
      <c r="BN495" s="84"/>
      <c r="BO495" s="84"/>
      <c r="BP495" s="84"/>
      <c r="BQ495" s="84"/>
      <c r="BR495" s="84"/>
      <c r="BS495" s="942"/>
      <c r="BT495" s="942"/>
      <c r="BU495" s="942"/>
      <c r="BV495" s="84"/>
    </row>
    <row r="496" spans="14:74" ht="14.25">
      <c r="N496" s="84"/>
      <c r="O496" s="84"/>
      <c r="P496" s="84"/>
      <c r="Q496" s="84"/>
      <c r="R496" s="84"/>
      <c r="S496" s="84"/>
      <c r="T496" s="84"/>
      <c r="U496" s="84"/>
      <c r="V496" s="84"/>
      <c r="W496" s="84"/>
      <c r="Y496" s="84"/>
      <c r="Z496" s="84"/>
      <c r="AA496" s="84"/>
      <c r="AB496" s="84"/>
      <c r="AC496" s="84"/>
      <c r="AD496" s="84"/>
      <c r="AE496" s="84"/>
      <c r="AF496" s="84"/>
      <c r="AG496" s="84"/>
      <c r="AH496" s="84"/>
      <c r="AI496" s="84"/>
      <c r="AL496" s="84"/>
      <c r="AM496" s="84"/>
      <c r="AN496" s="84"/>
      <c r="AO496" s="84"/>
      <c r="AP496" s="84"/>
      <c r="AQ496" s="84"/>
      <c r="AR496" s="84"/>
      <c r="AS496" s="84"/>
      <c r="AT496" s="84"/>
      <c r="AU496" s="84"/>
      <c r="AV496" s="84"/>
      <c r="AY496" s="84"/>
      <c r="AZ496" s="84"/>
      <c r="BA496" s="84"/>
      <c r="BB496" s="84"/>
      <c r="BC496" s="84"/>
      <c r="BD496" s="84"/>
      <c r="BE496" s="84"/>
      <c r="BF496" s="942"/>
      <c r="BG496" s="942"/>
      <c r="BH496" s="942"/>
      <c r="BI496" s="84"/>
      <c r="BL496" s="84"/>
      <c r="BM496" s="84"/>
      <c r="BN496" s="84"/>
      <c r="BO496" s="84"/>
      <c r="BP496" s="84"/>
      <c r="BQ496" s="84"/>
      <c r="BR496" s="84"/>
      <c r="BS496" s="942"/>
      <c r="BT496" s="942"/>
      <c r="BU496" s="942"/>
      <c r="BV496" s="84"/>
    </row>
    <row r="497" spans="14:74" ht="14.25">
      <c r="N497" s="84"/>
      <c r="O497" s="84"/>
      <c r="P497" s="84"/>
      <c r="Q497" s="84"/>
      <c r="R497" s="84"/>
      <c r="S497" s="84"/>
      <c r="T497" s="84"/>
      <c r="U497" s="84"/>
      <c r="V497" s="84"/>
      <c r="W497" s="84"/>
      <c r="Y497" s="84"/>
      <c r="Z497" s="84"/>
      <c r="AA497" s="84"/>
      <c r="AB497" s="84"/>
      <c r="AC497" s="84"/>
      <c r="AD497" s="84"/>
      <c r="AE497" s="84"/>
      <c r="AF497" s="84"/>
      <c r="AG497" s="84"/>
      <c r="AH497" s="84"/>
      <c r="AI497" s="84"/>
      <c r="AL497" s="84"/>
      <c r="AM497" s="84"/>
      <c r="AN497" s="84"/>
      <c r="AO497" s="84"/>
      <c r="AP497" s="84"/>
      <c r="AQ497" s="84"/>
      <c r="AR497" s="84"/>
      <c r="AS497" s="84"/>
      <c r="AT497" s="84"/>
      <c r="AU497" s="84"/>
      <c r="AV497" s="84"/>
      <c r="AY497" s="84"/>
      <c r="AZ497" s="84"/>
      <c r="BA497" s="84"/>
      <c r="BB497" s="84"/>
      <c r="BC497" s="84"/>
      <c r="BD497" s="84"/>
      <c r="BE497" s="84"/>
      <c r="BF497" s="942"/>
      <c r="BG497" s="942"/>
      <c r="BH497" s="942"/>
      <c r="BI497" s="84"/>
      <c r="BL497" s="84"/>
      <c r="BM497" s="84"/>
      <c r="BN497" s="84"/>
      <c r="BO497" s="84"/>
      <c r="BP497" s="84"/>
      <c r="BQ497" s="84"/>
      <c r="BR497" s="84"/>
      <c r="BS497" s="942"/>
      <c r="BT497" s="942"/>
      <c r="BU497" s="942"/>
      <c r="BV497" s="84"/>
    </row>
    <row r="498" spans="14:74" ht="14.25">
      <c r="N498" s="84"/>
      <c r="O498" s="84"/>
      <c r="P498" s="84"/>
      <c r="Q498" s="84"/>
      <c r="R498" s="84"/>
      <c r="S498" s="84"/>
      <c r="T498" s="84"/>
      <c r="U498" s="84"/>
      <c r="V498" s="84"/>
      <c r="W498" s="84"/>
      <c r="Y498" s="84"/>
      <c r="Z498" s="84"/>
      <c r="AA498" s="84"/>
      <c r="AB498" s="84"/>
      <c r="AC498" s="84"/>
      <c r="AD498" s="84"/>
      <c r="AE498" s="84"/>
      <c r="AF498" s="84"/>
      <c r="AG498" s="84"/>
      <c r="AH498" s="84"/>
      <c r="AI498" s="84"/>
      <c r="AL498" s="84"/>
      <c r="AM498" s="84"/>
      <c r="AN498" s="84"/>
      <c r="AO498" s="84"/>
      <c r="AP498" s="84"/>
      <c r="AQ498" s="84"/>
      <c r="AR498" s="84"/>
      <c r="AS498" s="84"/>
      <c r="AT498" s="84"/>
      <c r="AU498" s="84"/>
      <c r="AV498" s="84"/>
      <c r="AY498" s="84"/>
      <c r="AZ498" s="84"/>
      <c r="BA498" s="84"/>
      <c r="BB498" s="84"/>
      <c r="BC498" s="84"/>
      <c r="BD498" s="84"/>
      <c r="BE498" s="84"/>
      <c r="BF498" s="942"/>
      <c r="BG498" s="942"/>
      <c r="BH498" s="942"/>
      <c r="BI498" s="84"/>
      <c r="BL498" s="84"/>
      <c r="BM498" s="84"/>
      <c r="BN498" s="84"/>
      <c r="BO498" s="84"/>
      <c r="BP498" s="84"/>
      <c r="BQ498" s="84"/>
      <c r="BR498" s="84"/>
      <c r="BS498" s="942"/>
      <c r="BT498" s="942"/>
      <c r="BU498" s="942"/>
      <c r="BV498" s="84"/>
    </row>
    <row r="499" spans="14:74" ht="14.25">
      <c r="N499" s="84"/>
      <c r="O499" s="84"/>
      <c r="P499" s="84"/>
      <c r="Q499" s="84"/>
      <c r="R499" s="84"/>
      <c r="S499" s="84"/>
      <c r="T499" s="84"/>
      <c r="U499" s="84"/>
      <c r="V499" s="84"/>
      <c r="W499" s="84"/>
      <c r="Y499" s="84"/>
      <c r="Z499" s="84"/>
      <c r="AA499" s="84"/>
      <c r="AB499" s="84"/>
      <c r="AC499" s="84"/>
      <c r="AD499" s="84"/>
      <c r="AE499" s="84"/>
      <c r="AF499" s="84"/>
      <c r="AG499" s="84"/>
      <c r="AH499" s="84"/>
      <c r="AI499" s="84"/>
      <c r="AL499" s="84"/>
      <c r="AM499" s="84"/>
      <c r="AN499" s="84"/>
      <c r="AO499" s="84"/>
      <c r="AP499" s="84"/>
      <c r="AQ499" s="84"/>
      <c r="AR499" s="84"/>
      <c r="AS499" s="84"/>
      <c r="AT499" s="84"/>
      <c r="AU499" s="84"/>
      <c r="AV499" s="84"/>
      <c r="AY499" s="84"/>
      <c r="AZ499" s="84"/>
      <c r="BA499" s="84"/>
      <c r="BB499" s="84"/>
      <c r="BC499" s="84"/>
      <c r="BD499" s="84"/>
      <c r="BE499" s="84"/>
      <c r="BF499" s="942"/>
      <c r="BG499" s="942"/>
      <c r="BH499" s="942"/>
      <c r="BI499" s="84"/>
      <c r="BL499" s="84"/>
      <c r="BM499" s="84"/>
      <c r="BN499" s="84"/>
      <c r="BO499" s="84"/>
      <c r="BP499" s="84"/>
      <c r="BQ499" s="84"/>
      <c r="BR499" s="84"/>
      <c r="BS499" s="942"/>
      <c r="BT499" s="942"/>
      <c r="BU499" s="942"/>
      <c r="BV499" s="84"/>
    </row>
    <row r="500" spans="14:74" ht="14.25">
      <c r="N500" s="84"/>
      <c r="O500" s="84"/>
      <c r="P500" s="84"/>
      <c r="Q500" s="84"/>
      <c r="R500" s="84"/>
      <c r="S500" s="84"/>
      <c r="T500" s="84"/>
      <c r="U500" s="84"/>
      <c r="V500" s="84"/>
      <c r="W500" s="84"/>
      <c r="Y500" s="84"/>
      <c r="Z500" s="84"/>
      <c r="AA500" s="84"/>
      <c r="AB500" s="84"/>
      <c r="AC500" s="84"/>
      <c r="AD500" s="84"/>
      <c r="AE500" s="84"/>
      <c r="AF500" s="84"/>
      <c r="AG500" s="84"/>
      <c r="AH500" s="84"/>
      <c r="AI500" s="84"/>
      <c r="AL500" s="84"/>
      <c r="AM500" s="84"/>
      <c r="AN500" s="84"/>
      <c r="AO500" s="84"/>
      <c r="AP500" s="84"/>
      <c r="AQ500" s="84"/>
      <c r="AR500" s="84"/>
      <c r="AS500" s="84"/>
      <c r="AT500" s="84"/>
      <c r="AU500" s="84"/>
      <c r="AV500" s="84"/>
      <c r="AY500" s="84"/>
      <c r="AZ500" s="84"/>
      <c r="BA500" s="84"/>
      <c r="BB500" s="84"/>
      <c r="BC500" s="84"/>
      <c r="BD500" s="84"/>
      <c r="BE500" s="84"/>
      <c r="BF500" s="942"/>
      <c r="BG500" s="942"/>
      <c r="BH500" s="942"/>
      <c r="BI500" s="84"/>
      <c r="BL500" s="84"/>
      <c r="BM500" s="84"/>
      <c r="BN500" s="84"/>
      <c r="BO500" s="84"/>
      <c r="BP500" s="84"/>
      <c r="BQ500" s="84"/>
      <c r="BR500" s="84"/>
      <c r="BS500" s="942"/>
      <c r="BT500" s="942"/>
      <c r="BU500" s="942"/>
      <c r="BV500" s="84"/>
    </row>
    <row r="501" spans="14:74" ht="14.25">
      <c r="N501" s="84"/>
      <c r="O501" s="84"/>
      <c r="P501" s="84"/>
      <c r="Q501" s="84"/>
      <c r="R501" s="84"/>
      <c r="S501" s="84"/>
      <c r="T501" s="84"/>
      <c r="U501" s="84"/>
      <c r="V501" s="84"/>
      <c r="W501" s="84"/>
      <c r="Y501" s="84"/>
      <c r="Z501" s="84"/>
      <c r="AA501" s="84"/>
      <c r="AB501" s="84"/>
      <c r="AC501" s="84"/>
      <c r="AD501" s="84"/>
      <c r="AE501" s="84"/>
      <c r="AF501" s="84"/>
      <c r="AG501" s="84"/>
      <c r="AH501" s="84"/>
      <c r="AI501" s="84"/>
      <c r="AL501" s="84"/>
      <c r="AM501" s="84"/>
      <c r="AN501" s="84"/>
      <c r="AO501" s="84"/>
      <c r="AP501" s="84"/>
      <c r="AQ501" s="84"/>
      <c r="AR501" s="84"/>
      <c r="AS501" s="84"/>
      <c r="AT501" s="84"/>
      <c r="AU501" s="84"/>
      <c r="AV501" s="84"/>
      <c r="AY501" s="84"/>
      <c r="AZ501" s="84"/>
      <c r="BA501" s="84"/>
      <c r="BB501" s="84"/>
      <c r="BC501" s="84"/>
      <c r="BD501" s="84"/>
      <c r="BE501" s="84"/>
      <c r="BF501" s="942"/>
      <c r="BG501" s="942"/>
      <c r="BH501" s="942"/>
      <c r="BI501" s="84"/>
      <c r="BL501" s="84"/>
      <c r="BM501" s="84"/>
      <c r="BN501" s="84"/>
      <c r="BO501" s="84"/>
      <c r="BP501" s="84"/>
      <c r="BQ501" s="84"/>
      <c r="BR501" s="84"/>
      <c r="BS501" s="942"/>
      <c r="BT501" s="942"/>
      <c r="BU501" s="942"/>
      <c r="BV501" s="84"/>
    </row>
    <row r="502" spans="14:74" ht="14.25">
      <c r="N502" s="84"/>
      <c r="O502" s="84"/>
      <c r="P502" s="84"/>
      <c r="Q502" s="84"/>
      <c r="R502" s="84"/>
      <c r="S502" s="84"/>
      <c r="T502" s="84"/>
      <c r="U502" s="84"/>
      <c r="V502" s="84"/>
      <c r="W502" s="84"/>
      <c r="Y502" s="84"/>
      <c r="Z502" s="84"/>
      <c r="AA502" s="84"/>
      <c r="AB502" s="84"/>
      <c r="AC502" s="84"/>
      <c r="AD502" s="84"/>
      <c r="AE502" s="84"/>
      <c r="AF502" s="84"/>
      <c r="AG502" s="84"/>
      <c r="AH502" s="84"/>
      <c r="AI502" s="84"/>
      <c r="AL502" s="84"/>
      <c r="AM502" s="84"/>
      <c r="AN502" s="84"/>
      <c r="AO502" s="84"/>
      <c r="AP502" s="84"/>
      <c r="AQ502" s="84"/>
      <c r="AR502" s="84"/>
      <c r="AS502" s="84"/>
      <c r="AT502" s="84"/>
      <c r="AU502" s="84"/>
      <c r="AV502" s="84"/>
      <c r="AY502" s="84"/>
      <c r="AZ502" s="84"/>
      <c r="BA502" s="84"/>
      <c r="BB502" s="84"/>
      <c r="BC502" s="84"/>
      <c r="BD502" s="84"/>
      <c r="BE502" s="84"/>
      <c r="BF502" s="942"/>
      <c r="BG502" s="942"/>
      <c r="BH502" s="942"/>
      <c r="BI502" s="84"/>
      <c r="BL502" s="84"/>
      <c r="BM502" s="84"/>
      <c r="BN502" s="84"/>
      <c r="BO502" s="84"/>
      <c r="BP502" s="84"/>
      <c r="BQ502" s="84"/>
      <c r="BR502" s="84"/>
      <c r="BS502" s="942"/>
      <c r="BT502" s="942"/>
      <c r="BU502" s="942"/>
      <c r="BV502" s="84"/>
    </row>
    <row r="503" spans="14:74" ht="14.25">
      <c r="N503" s="84"/>
      <c r="O503" s="84"/>
      <c r="P503" s="84"/>
      <c r="Q503" s="84"/>
      <c r="R503" s="84"/>
      <c r="S503" s="84"/>
      <c r="T503" s="84"/>
      <c r="U503" s="84"/>
      <c r="V503" s="84"/>
      <c r="W503" s="84"/>
      <c r="Y503" s="84"/>
      <c r="Z503" s="84"/>
      <c r="AA503" s="84"/>
      <c r="AB503" s="84"/>
      <c r="AC503" s="84"/>
      <c r="AD503" s="84"/>
      <c r="AE503" s="84"/>
      <c r="AF503" s="84"/>
      <c r="AG503" s="84"/>
      <c r="AH503" s="84"/>
      <c r="AI503" s="84"/>
      <c r="AL503" s="84"/>
      <c r="AM503" s="84"/>
      <c r="AN503" s="84"/>
      <c r="AO503" s="84"/>
      <c r="AP503" s="84"/>
      <c r="AQ503" s="84"/>
      <c r="AR503" s="84"/>
      <c r="AS503" s="84"/>
      <c r="AT503" s="84"/>
      <c r="AU503" s="84"/>
      <c r="AV503" s="84"/>
      <c r="AY503" s="84"/>
      <c r="AZ503" s="84"/>
      <c r="BA503" s="84"/>
      <c r="BB503" s="84"/>
      <c r="BC503" s="84"/>
      <c r="BD503" s="84"/>
      <c r="BE503" s="84"/>
      <c r="BF503" s="942"/>
      <c r="BG503" s="942"/>
      <c r="BH503" s="942"/>
      <c r="BI503" s="84"/>
      <c r="BL503" s="84"/>
      <c r="BM503" s="84"/>
      <c r="BN503" s="84"/>
      <c r="BO503" s="84"/>
      <c r="BP503" s="84"/>
      <c r="BQ503" s="84"/>
      <c r="BR503" s="84"/>
      <c r="BS503" s="942"/>
      <c r="BT503" s="942"/>
      <c r="BU503" s="942"/>
      <c r="BV503" s="84"/>
    </row>
    <row r="504" spans="14:74" ht="14.25">
      <c r="N504" s="84"/>
      <c r="O504" s="84"/>
      <c r="P504" s="84"/>
      <c r="Q504" s="84"/>
      <c r="R504" s="84"/>
      <c r="S504" s="84"/>
      <c r="T504" s="84"/>
      <c r="U504" s="84"/>
      <c r="V504" s="84"/>
      <c r="W504" s="84"/>
      <c r="Y504" s="84"/>
      <c r="Z504" s="84"/>
      <c r="AA504" s="84"/>
      <c r="AB504" s="84"/>
      <c r="AC504" s="84"/>
      <c r="AD504" s="84"/>
      <c r="AE504" s="84"/>
      <c r="AF504" s="84"/>
      <c r="AG504" s="84"/>
      <c r="AH504" s="84"/>
      <c r="AI504" s="84"/>
      <c r="AL504" s="84"/>
      <c r="AM504" s="84"/>
      <c r="AN504" s="84"/>
      <c r="AO504" s="84"/>
      <c r="AP504" s="84"/>
      <c r="AQ504" s="84"/>
      <c r="AR504" s="84"/>
      <c r="AS504" s="84"/>
      <c r="AT504" s="84"/>
      <c r="AU504" s="84"/>
      <c r="AV504" s="84"/>
      <c r="AY504" s="84"/>
      <c r="AZ504" s="84"/>
      <c r="BA504" s="84"/>
      <c r="BB504" s="84"/>
      <c r="BC504" s="84"/>
      <c r="BD504" s="84"/>
      <c r="BE504" s="84"/>
      <c r="BF504" s="942"/>
      <c r="BG504" s="942"/>
      <c r="BH504" s="942"/>
      <c r="BI504" s="84"/>
      <c r="BL504" s="84"/>
      <c r="BM504" s="84"/>
      <c r="BN504" s="84"/>
      <c r="BO504" s="84"/>
      <c r="BP504" s="84"/>
      <c r="BQ504" s="84"/>
      <c r="BR504" s="84"/>
      <c r="BS504" s="942"/>
      <c r="BT504" s="942"/>
      <c r="BU504" s="942"/>
      <c r="BV504" s="84"/>
    </row>
    <row r="505" spans="14:74" ht="14.25">
      <c r="N505" s="84"/>
      <c r="O505" s="84"/>
      <c r="P505" s="84"/>
      <c r="Q505" s="84"/>
      <c r="R505" s="84"/>
      <c r="S505" s="84"/>
      <c r="T505" s="84"/>
      <c r="U505" s="84"/>
      <c r="V505" s="84"/>
      <c r="W505" s="84"/>
      <c r="Y505" s="84"/>
      <c r="Z505" s="84"/>
      <c r="AA505" s="84"/>
      <c r="AB505" s="84"/>
      <c r="AC505" s="84"/>
      <c r="AD505" s="84"/>
      <c r="AE505" s="84"/>
      <c r="AF505" s="84"/>
      <c r="AG505" s="84"/>
      <c r="AH505" s="84"/>
      <c r="AI505" s="84"/>
      <c r="AL505" s="84"/>
      <c r="AM505" s="84"/>
      <c r="AN505" s="84"/>
      <c r="AO505" s="84"/>
      <c r="AP505" s="84"/>
      <c r="AQ505" s="84"/>
      <c r="AR505" s="84"/>
      <c r="AS505" s="84"/>
      <c r="AT505" s="84"/>
      <c r="AU505" s="84"/>
      <c r="AV505" s="84"/>
      <c r="AY505" s="84"/>
      <c r="AZ505" s="84"/>
      <c r="BA505" s="84"/>
      <c r="BB505" s="84"/>
      <c r="BC505" s="84"/>
      <c r="BD505" s="84"/>
      <c r="BE505" s="84"/>
      <c r="BF505" s="942"/>
      <c r="BG505" s="942"/>
      <c r="BH505" s="942"/>
      <c r="BI505" s="84"/>
      <c r="BL505" s="84"/>
      <c r="BM505" s="84"/>
      <c r="BN505" s="84"/>
      <c r="BO505" s="84"/>
      <c r="BP505" s="84"/>
      <c r="BQ505" s="84"/>
      <c r="BR505" s="84"/>
      <c r="BS505" s="942"/>
      <c r="BT505" s="942"/>
      <c r="BU505" s="942"/>
      <c r="BV505" s="84"/>
    </row>
    <row r="506" spans="14:74" ht="14.25">
      <c r="N506" s="84"/>
      <c r="O506" s="84"/>
      <c r="P506" s="84"/>
      <c r="Q506" s="84"/>
      <c r="R506" s="84"/>
      <c r="S506" s="84"/>
      <c r="T506" s="84"/>
      <c r="U506" s="84"/>
      <c r="V506" s="84"/>
      <c r="W506" s="84"/>
      <c r="Y506" s="84"/>
      <c r="Z506" s="84"/>
      <c r="AA506" s="84"/>
      <c r="AB506" s="84"/>
      <c r="AC506" s="84"/>
      <c r="AD506" s="84"/>
      <c r="AE506" s="84"/>
      <c r="AF506" s="84"/>
      <c r="AG506" s="84"/>
      <c r="AH506" s="84"/>
      <c r="AI506" s="84"/>
      <c r="AL506" s="84"/>
      <c r="AM506" s="84"/>
      <c r="AN506" s="84"/>
      <c r="AO506" s="84"/>
      <c r="AP506" s="84"/>
      <c r="AQ506" s="84"/>
      <c r="AR506" s="84"/>
      <c r="AS506" s="84"/>
      <c r="AT506" s="84"/>
      <c r="AU506" s="84"/>
      <c r="AV506" s="84"/>
      <c r="AY506" s="84"/>
      <c r="AZ506" s="84"/>
      <c r="BA506" s="84"/>
      <c r="BB506" s="84"/>
      <c r="BC506" s="84"/>
      <c r="BD506" s="84"/>
      <c r="BE506" s="84"/>
      <c r="BF506" s="942"/>
      <c r="BG506" s="942"/>
      <c r="BH506" s="942"/>
      <c r="BI506" s="84"/>
      <c r="BL506" s="84"/>
      <c r="BM506" s="84"/>
      <c r="BN506" s="84"/>
      <c r="BO506" s="84"/>
      <c r="BP506" s="84"/>
      <c r="BQ506" s="84"/>
      <c r="BR506" s="84"/>
      <c r="BS506" s="942"/>
      <c r="BT506" s="942"/>
      <c r="BU506" s="942"/>
      <c r="BV506" s="84"/>
    </row>
    <row r="507" spans="14:74" ht="14.25">
      <c r="N507" s="84"/>
      <c r="O507" s="84"/>
      <c r="P507" s="84"/>
      <c r="Q507" s="84"/>
      <c r="R507" s="84"/>
      <c r="S507" s="84"/>
      <c r="T507" s="84"/>
      <c r="U507" s="84"/>
      <c r="V507" s="84"/>
      <c r="W507" s="84"/>
      <c r="Y507" s="84"/>
      <c r="Z507" s="84"/>
      <c r="AA507" s="84"/>
      <c r="AB507" s="84"/>
      <c r="AC507" s="84"/>
      <c r="AD507" s="84"/>
      <c r="AE507" s="84"/>
      <c r="AF507" s="84"/>
      <c r="AG507" s="84"/>
      <c r="AH507" s="84"/>
      <c r="AI507" s="84"/>
      <c r="AL507" s="84"/>
      <c r="AM507" s="84"/>
      <c r="AN507" s="84"/>
      <c r="AO507" s="84"/>
      <c r="AP507" s="84"/>
      <c r="AQ507" s="84"/>
      <c r="AR507" s="84"/>
      <c r="AS507" s="84"/>
      <c r="AT507" s="84"/>
      <c r="AU507" s="84"/>
      <c r="AV507" s="84"/>
      <c r="AY507" s="84"/>
      <c r="AZ507" s="84"/>
      <c r="BA507" s="84"/>
      <c r="BB507" s="84"/>
      <c r="BC507" s="84"/>
      <c r="BD507" s="84"/>
      <c r="BE507" s="84"/>
      <c r="BF507" s="942"/>
      <c r="BG507" s="942"/>
      <c r="BH507" s="942"/>
      <c r="BI507" s="84"/>
      <c r="BL507" s="84"/>
      <c r="BM507" s="84"/>
      <c r="BN507" s="84"/>
      <c r="BO507" s="84"/>
      <c r="BP507" s="84"/>
      <c r="BQ507" s="84"/>
      <c r="BR507" s="84"/>
      <c r="BS507" s="942"/>
      <c r="BT507" s="942"/>
      <c r="BU507" s="942"/>
      <c r="BV507" s="84"/>
    </row>
    <row r="508" spans="14:74" ht="14.25">
      <c r="N508" s="84"/>
      <c r="O508" s="84"/>
      <c r="P508" s="84"/>
      <c r="Q508" s="84"/>
      <c r="R508" s="84"/>
      <c r="S508" s="84"/>
      <c r="T508" s="84"/>
      <c r="U508" s="84"/>
      <c r="V508" s="84"/>
      <c r="W508" s="84"/>
      <c r="Y508" s="84"/>
      <c r="Z508" s="84"/>
      <c r="AA508" s="84"/>
      <c r="AB508" s="84"/>
      <c r="AC508" s="84"/>
      <c r="AD508" s="84"/>
      <c r="AE508" s="84"/>
      <c r="AF508" s="84"/>
      <c r="AG508" s="84"/>
      <c r="AH508" s="84"/>
      <c r="AI508" s="84"/>
      <c r="AL508" s="84"/>
      <c r="AM508" s="84"/>
      <c r="AN508" s="84"/>
      <c r="AO508" s="84"/>
      <c r="AP508" s="84"/>
      <c r="AQ508" s="84"/>
      <c r="AR508" s="84"/>
      <c r="AS508" s="84"/>
      <c r="AT508" s="84"/>
      <c r="AU508" s="84"/>
      <c r="AV508" s="84"/>
      <c r="AY508" s="84"/>
      <c r="AZ508" s="84"/>
      <c r="BA508" s="84"/>
      <c r="BB508" s="84"/>
      <c r="BC508" s="84"/>
      <c r="BD508" s="84"/>
      <c r="BE508" s="84"/>
      <c r="BF508" s="942"/>
      <c r="BG508" s="942"/>
      <c r="BH508" s="942"/>
      <c r="BI508" s="84"/>
      <c r="BL508" s="84"/>
      <c r="BM508" s="84"/>
      <c r="BN508" s="84"/>
      <c r="BO508" s="84"/>
      <c r="BP508" s="84"/>
      <c r="BQ508" s="84"/>
      <c r="BR508" s="84"/>
      <c r="BS508" s="942"/>
      <c r="BT508" s="942"/>
      <c r="BU508" s="942"/>
      <c r="BV508" s="84"/>
    </row>
    <row r="509" spans="14:74" ht="14.25">
      <c r="N509" s="84"/>
      <c r="O509" s="84"/>
      <c r="P509" s="84"/>
      <c r="Q509" s="84"/>
      <c r="R509" s="84"/>
      <c r="S509" s="84"/>
      <c r="T509" s="84"/>
      <c r="U509" s="84"/>
      <c r="V509" s="84"/>
      <c r="W509" s="84"/>
      <c r="Y509" s="84"/>
      <c r="Z509" s="84"/>
      <c r="AA509" s="84"/>
      <c r="AB509" s="84"/>
      <c r="AC509" s="84"/>
      <c r="AD509" s="84"/>
      <c r="AE509" s="84"/>
      <c r="AF509" s="84"/>
      <c r="AG509" s="84"/>
      <c r="AH509" s="84"/>
      <c r="AI509" s="84"/>
      <c r="AL509" s="84"/>
      <c r="AM509" s="84"/>
      <c r="AN509" s="84"/>
      <c r="AO509" s="84"/>
      <c r="AP509" s="84"/>
      <c r="AQ509" s="84"/>
      <c r="AR509" s="84"/>
      <c r="AS509" s="84"/>
      <c r="AT509" s="84"/>
      <c r="AU509" s="84"/>
      <c r="AV509" s="84"/>
      <c r="AY509" s="84"/>
      <c r="AZ509" s="84"/>
      <c r="BA509" s="84"/>
      <c r="BB509" s="84"/>
      <c r="BC509" s="84"/>
      <c r="BD509" s="84"/>
      <c r="BE509" s="84"/>
      <c r="BF509" s="942"/>
      <c r="BG509" s="942"/>
      <c r="BH509" s="942"/>
      <c r="BI509" s="84"/>
      <c r="BL509" s="84"/>
      <c r="BM509" s="84"/>
      <c r="BN509" s="84"/>
      <c r="BO509" s="84"/>
      <c r="BP509" s="84"/>
      <c r="BQ509" s="84"/>
      <c r="BR509" s="84"/>
      <c r="BS509" s="942"/>
      <c r="BT509" s="942"/>
      <c r="BU509" s="942"/>
      <c r="BV509" s="84"/>
    </row>
    <row r="510" spans="14:74" ht="14.25">
      <c r="N510" s="84"/>
      <c r="O510" s="84"/>
      <c r="P510" s="84"/>
      <c r="Q510" s="84"/>
      <c r="R510" s="84"/>
      <c r="S510" s="84"/>
      <c r="T510" s="84"/>
      <c r="U510" s="84"/>
      <c r="V510" s="84"/>
      <c r="W510" s="84"/>
      <c r="Y510" s="84"/>
      <c r="Z510" s="84"/>
      <c r="AA510" s="84"/>
      <c r="AB510" s="84"/>
      <c r="AC510" s="84"/>
      <c r="AD510" s="84"/>
      <c r="AE510" s="84"/>
      <c r="AF510" s="84"/>
      <c r="AG510" s="84"/>
      <c r="AH510" s="84"/>
      <c r="AI510" s="84"/>
      <c r="AL510" s="84"/>
      <c r="AM510" s="84"/>
      <c r="AN510" s="84"/>
      <c r="AO510" s="84"/>
      <c r="AP510" s="84"/>
      <c r="AQ510" s="84"/>
      <c r="AR510" s="84"/>
      <c r="AS510" s="84"/>
      <c r="AT510" s="84"/>
      <c r="AU510" s="84"/>
      <c r="AV510" s="84"/>
      <c r="AY510" s="84"/>
      <c r="AZ510" s="84"/>
      <c r="BA510" s="84"/>
      <c r="BB510" s="84"/>
      <c r="BC510" s="84"/>
      <c r="BD510" s="84"/>
      <c r="BE510" s="84"/>
      <c r="BF510" s="942"/>
      <c r="BG510" s="942"/>
      <c r="BH510" s="942"/>
      <c r="BI510" s="84"/>
      <c r="BL510" s="84"/>
      <c r="BM510" s="84"/>
      <c r="BN510" s="84"/>
      <c r="BO510" s="84"/>
      <c r="BP510" s="84"/>
      <c r="BQ510" s="84"/>
      <c r="BR510" s="84"/>
      <c r="BS510" s="942"/>
      <c r="BT510" s="942"/>
      <c r="BU510" s="942"/>
      <c r="BV510" s="84"/>
    </row>
    <row r="511" spans="14:74" ht="14.25">
      <c r="N511" s="84"/>
      <c r="O511" s="84"/>
      <c r="P511" s="84"/>
      <c r="Q511" s="84"/>
      <c r="R511" s="84"/>
      <c r="S511" s="84"/>
      <c r="T511" s="84"/>
      <c r="U511" s="84"/>
      <c r="V511" s="84"/>
      <c r="W511" s="84"/>
      <c r="Y511" s="84"/>
      <c r="Z511" s="84"/>
      <c r="AA511" s="84"/>
      <c r="AB511" s="84"/>
      <c r="AC511" s="84"/>
      <c r="AD511" s="84"/>
      <c r="AE511" s="84"/>
      <c r="AF511" s="84"/>
      <c r="AG511" s="84"/>
      <c r="AH511" s="84"/>
      <c r="AI511" s="84"/>
      <c r="AL511" s="84"/>
      <c r="AM511" s="84"/>
      <c r="AN511" s="84"/>
      <c r="AO511" s="84"/>
      <c r="AP511" s="84"/>
      <c r="AQ511" s="84"/>
      <c r="AR511" s="84"/>
      <c r="AS511" s="84"/>
      <c r="AT511" s="84"/>
      <c r="AU511" s="84"/>
      <c r="AV511" s="84"/>
      <c r="AY511" s="84"/>
      <c r="AZ511" s="84"/>
      <c r="BA511" s="84"/>
      <c r="BB511" s="84"/>
      <c r="BC511" s="84"/>
      <c r="BD511" s="84"/>
      <c r="BE511" s="84"/>
      <c r="BF511" s="942"/>
      <c r="BG511" s="942"/>
      <c r="BH511" s="942"/>
      <c r="BI511" s="84"/>
      <c r="BL511" s="84"/>
      <c r="BM511" s="84"/>
      <c r="BN511" s="84"/>
      <c r="BO511" s="84"/>
      <c r="BP511" s="84"/>
      <c r="BQ511" s="84"/>
      <c r="BR511" s="84"/>
      <c r="BS511" s="942"/>
      <c r="BT511" s="942"/>
      <c r="BU511" s="942"/>
      <c r="BV511" s="84"/>
    </row>
    <row r="512" spans="14:74" ht="14.25">
      <c r="N512" s="84"/>
      <c r="O512" s="84"/>
      <c r="P512" s="84"/>
      <c r="Q512" s="84"/>
      <c r="R512" s="84"/>
      <c r="S512" s="84"/>
      <c r="T512" s="84"/>
      <c r="U512" s="84"/>
      <c r="V512" s="84"/>
      <c r="W512" s="84"/>
      <c r="Y512" s="84"/>
      <c r="Z512" s="84"/>
      <c r="AA512" s="84"/>
      <c r="AB512" s="84"/>
      <c r="AC512" s="84"/>
      <c r="AD512" s="84"/>
      <c r="AE512" s="84"/>
      <c r="AF512" s="84"/>
      <c r="AG512" s="84"/>
      <c r="AH512" s="84"/>
      <c r="AI512" s="84"/>
      <c r="AL512" s="84"/>
      <c r="AM512" s="84"/>
      <c r="AN512" s="84"/>
      <c r="AO512" s="84"/>
      <c r="AP512" s="84"/>
      <c r="AQ512" s="84"/>
      <c r="AR512" s="84"/>
      <c r="AS512" s="84"/>
      <c r="AT512" s="84"/>
      <c r="AU512" s="84"/>
      <c r="AV512" s="84"/>
      <c r="AY512" s="84"/>
      <c r="AZ512" s="84"/>
      <c r="BA512" s="84"/>
      <c r="BB512" s="84"/>
      <c r="BC512" s="84"/>
      <c r="BD512" s="84"/>
      <c r="BE512" s="84"/>
      <c r="BF512" s="942"/>
      <c r="BG512" s="942"/>
      <c r="BH512" s="942"/>
      <c r="BI512" s="84"/>
      <c r="BL512" s="84"/>
      <c r="BM512" s="84"/>
      <c r="BN512" s="84"/>
      <c r="BO512" s="84"/>
      <c r="BP512" s="84"/>
      <c r="BQ512" s="84"/>
      <c r="BR512" s="84"/>
      <c r="BS512" s="942"/>
      <c r="BT512" s="942"/>
      <c r="BU512" s="942"/>
      <c r="BV512" s="84"/>
    </row>
    <row r="513" spans="14:74" ht="14.25">
      <c r="N513" s="84"/>
      <c r="O513" s="84"/>
      <c r="P513" s="84"/>
      <c r="Q513" s="84"/>
      <c r="R513" s="84"/>
      <c r="S513" s="84"/>
      <c r="T513" s="84"/>
      <c r="U513" s="84"/>
      <c r="V513" s="84"/>
      <c r="W513" s="84"/>
      <c r="Y513" s="84"/>
      <c r="Z513" s="84"/>
      <c r="AA513" s="84"/>
      <c r="AB513" s="84"/>
      <c r="AC513" s="84"/>
      <c r="AD513" s="84"/>
      <c r="AE513" s="84"/>
      <c r="AF513" s="84"/>
      <c r="AG513" s="84"/>
      <c r="AH513" s="84"/>
      <c r="AI513" s="84"/>
      <c r="AL513" s="84"/>
      <c r="AM513" s="84"/>
      <c r="AN513" s="84"/>
      <c r="AO513" s="84"/>
      <c r="AP513" s="84"/>
      <c r="AQ513" s="84"/>
      <c r="AR513" s="84"/>
      <c r="AS513" s="84"/>
      <c r="AT513" s="84"/>
      <c r="AU513" s="84"/>
      <c r="AV513" s="84"/>
      <c r="AY513" s="84"/>
      <c r="AZ513" s="84"/>
      <c r="BA513" s="84"/>
      <c r="BB513" s="84"/>
      <c r="BC513" s="84"/>
      <c r="BD513" s="84"/>
      <c r="BE513" s="84"/>
      <c r="BF513" s="942"/>
      <c r="BG513" s="942"/>
      <c r="BH513" s="942"/>
      <c r="BI513" s="84"/>
      <c r="BL513" s="84"/>
      <c r="BM513" s="84"/>
      <c r="BN513" s="84"/>
      <c r="BO513" s="84"/>
      <c r="BP513" s="84"/>
      <c r="BQ513" s="84"/>
      <c r="BR513" s="84"/>
      <c r="BS513" s="942"/>
      <c r="BT513" s="942"/>
      <c r="BU513" s="942"/>
      <c r="BV513" s="84"/>
    </row>
    <row r="514" spans="14:74" ht="14.25">
      <c r="N514" s="84"/>
      <c r="O514" s="84"/>
      <c r="P514" s="84"/>
      <c r="Q514" s="84"/>
      <c r="R514" s="84"/>
      <c r="S514" s="84"/>
      <c r="T514" s="84"/>
      <c r="U514" s="84"/>
      <c r="V514" s="84"/>
      <c r="W514" s="84"/>
      <c r="Y514" s="84"/>
      <c r="Z514" s="84"/>
      <c r="AA514" s="84"/>
      <c r="AB514" s="84"/>
      <c r="AC514" s="84"/>
      <c r="AD514" s="84"/>
      <c r="AE514" s="84"/>
      <c r="AF514" s="84"/>
      <c r="AG514" s="84"/>
      <c r="AH514" s="84"/>
      <c r="AI514" s="84"/>
      <c r="AL514" s="84"/>
      <c r="AM514" s="84"/>
      <c r="AN514" s="84"/>
      <c r="AO514" s="84"/>
      <c r="AP514" s="84"/>
      <c r="AQ514" s="84"/>
      <c r="AR514" s="84"/>
      <c r="AS514" s="84"/>
      <c r="AT514" s="84"/>
      <c r="AU514" s="84"/>
      <c r="AV514" s="84"/>
      <c r="AY514" s="84"/>
      <c r="AZ514" s="84"/>
      <c r="BA514" s="84"/>
      <c r="BB514" s="84"/>
      <c r="BC514" s="84"/>
      <c r="BD514" s="84"/>
      <c r="BE514" s="84"/>
      <c r="BF514" s="942"/>
      <c r="BG514" s="942"/>
      <c r="BH514" s="942"/>
      <c r="BI514" s="84"/>
      <c r="BL514" s="84"/>
      <c r="BM514" s="84"/>
      <c r="BN514" s="84"/>
      <c r="BO514" s="84"/>
      <c r="BP514" s="84"/>
      <c r="BQ514" s="84"/>
      <c r="BR514" s="84"/>
      <c r="BS514" s="942"/>
      <c r="BT514" s="942"/>
      <c r="BU514" s="942"/>
      <c r="BV514" s="84"/>
    </row>
    <row r="515" spans="14:74" ht="14.25">
      <c r="N515" s="84"/>
      <c r="O515" s="84"/>
      <c r="P515" s="84"/>
      <c r="Q515" s="84"/>
      <c r="R515" s="84"/>
      <c r="S515" s="84"/>
      <c r="T515" s="84"/>
      <c r="U515" s="84"/>
      <c r="V515" s="84"/>
      <c r="W515" s="84"/>
      <c r="Y515" s="84"/>
      <c r="Z515" s="84"/>
      <c r="AA515" s="84"/>
      <c r="AB515" s="84"/>
      <c r="AC515" s="84"/>
      <c r="AD515" s="84"/>
      <c r="AE515" s="84"/>
      <c r="AF515" s="84"/>
      <c r="AG515" s="84"/>
      <c r="AH515" s="84"/>
      <c r="AI515" s="84"/>
      <c r="AL515" s="84"/>
      <c r="AM515" s="84"/>
      <c r="AN515" s="84"/>
      <c r="AO515" s="84"/>
      <c r="AP515" s="84"/>
      <c r="AQ515" s="84"/>
      <c r="AR515" s="84"/>
      <c r="AS515" s="84"/>
      <c r="AT515" s="84"/>
      <c r="AU515" s="84"/>
      <c r="AV515" s="84"/>
      <c r="AY515" s="84"/>
      <c r="AZ515" s="84"/>
      <c r="BA515" s="84"/>
      <c r="BB515" s="84"/>
      <c r="BC515" s="84"/>
      <c r="BD515" s="84"/>
      <c r="BE515" s="84"/>
      <c r="BF515" s="942"/>
      <c r="BG515" s="942"/>
      <c r="BH515" s="942"/>
      <c r="BI515" s="84"/>
      <c r="BL515" s="84"/>
      <c r="BM515" s="84"/>
      <c r="BN515" s="84"/>
      <c r="BO515" s="84"/>
      <c r="BP515" s="84"/>
      <c r="BQ515" s="84"/>
      <c r="BR515" s="84"/>
      <c r="BS515" s="942"/>
      <c r="BT515" s="942"/>
      <c r="BU515" s="942"/>
      <c r="BV515" s="84"/>
    </row>
    <row r="516" spans="14:74" ht="14.25">
      <c r="N516" s="84"/>
      <c r="O516" s="84"/>
      <c r="P516" s="84"/>
      <c r="Q516" s="84"/>
      <c r="R516" s="84"/>
      <c r="S516" s="84"/>
      <c r="T516" s="84"/>
      <c r="U516" s="84"/>
      <c r="V516" s="84"/>
      <c r="W516" s="84"/>
      <c r="Y516" s="84"/>
      <c r="Z516" s="84"/>
      <c r="AA516" s="84"/>
      <c r="AB516" s="84"/>
      <c r="AC516" s="84"/>
      <c r="AD516" s="84"/>
      <c r="AE516" s="84"/>
      <c r="AF516" s="84"/>
      <c r="AG516" s="84"/>
      <c r="AH516" s="84"/>
      <c r="AI516" s="84"/>
      <c r="AL516" s="84"/>
      <c r="AM516" s="84"/>
      <c r="AN516" s="84"/>
      <c r="AO516" s="84"/>
      <c r="AP516" s="84"/>
      <c r="AQ516" s="84"/>
      <c r="AR516" s="84"/>
      <c r="AS516" s="84"/>
      <c r="AT516" s="84"/>
      <c r="AU516" s="84"/>
      <c r="AV516" s="84"/>
      <c r="AY516" s="84"/>
      <c r="AZ516" s="84"/>
      <c r="BA516" s="84"/>
      <c r="BB516" s="84"/>
      <c r="BC516" s="84"/>
      <c r="BD516" s="84"/>
      <c r="BE516" s="84"/>
      <c r="BF516" s="942"/>
      <c r="BG516" s="942"/>
      <c r="BH516" s="942"/>
      <c r="BI516" s="84"/>
      <c r="BL516" s="84"/>
      <c r="BM516" s="84"/>
      <c r="BN516" s="84"/>
      <c r="BO516" s="84"/>
      <c r="BP516" s="84"/>
      <c r="BQ516" s="84"/>
      <c r="BR516" s="84"/>
      <c r="BS516" s="942"/>
      <c r="BT516" s="942"/>
      <c r="BU516" s="942"/>
      <c r="BV516" s="84"/>
    </row>
    <row r="517" spans="14:74" ht="14.25">
      <c r="N517" s="84"/>
      <c r="O517" s="84"/>
      <c r="P517" s="84"/>
      <c r="Q517" s="84"/>
      <c r="R517" s="84"/>
      <c r="S517" s="84"/>
      <c r="T517" s="84"/>
      <c r="U517" s="84"/>
      <c r="V517" s="84"/>
      <c r="W517" s="84"/>
      <c r="Y517" s="84"/>
      <c r="Z517" s="84"/>
      <c r="AA517" s="84"/>
      <c r="AB517" s="84"/>
      <c r="AC517" s="84"/>
      <c r="AD517" s="84"/>
      <c r="AE517" s="84"/>
      <c r="AF517" s="84"/>
      <c r="AG517" s="84"/>
      <c r="AH517" s="84"/>
      <c r="AI517" s="84"/>
      <c r="AL517" s="84"/>
      <c r="AM517" s="84"/>
      <c r="AN517" s="84"/>
      <c r="AO517" s="84"/>
      <c r="AP517" s="84"/>
      <c r="AQ517" s="84"/>
      <c r="AR517" s="84"/>
      <c r="AS517" s="84"/>
      <c r="AT517" s="84"/>
      <c r="AU517" s="84"/>
      <c r="AV517" s="84"/>
      <c r="AY517" s="84"/>
      <c r="AZ517" s="84"/>
      <c r="BA517" s="84"/>
      <c r="BB517" s="84"/>
      <c r="BC517" s="84"/>
      <c r="BD517" s="84"/>
      <c r="BE517" s="84"/>
      <c r="BF517" s="942"/>
      <c r="BG517" s="942"/>
      <c r="BH517" s="942"/>
      <c r="BI517" s="84"/>
      <c r="BL517" s="84"/>
      <c r="BM517" s="84"/>
      <c r="BN517" s="84"/>
      <c r="BO517" s="84"/>
      <c r="BP517" s="84"/>
      <c r="BQ517" s="84"/>
      <c r="BR517" s="84"/>
      <c r="BS517" s="942"/>
      <c r="BT517" s="942"/>
      <c r="BU517" s="942"/>
      <c r="BV517" s="84"/>
    </row>
    <row r="518" spans="14:74" ht="14.25">
      <c r="N518" s="84"/>
      <c r="O518" s="84"/>
      <c r="P518" s="84"/>
      <c r="Q518" s="84"/>
      <c r="R518" s="84"/>
      <c r="S518" s="84"/>
      <c r="T518" s="84"/>
      <c r="U518" s="84"/>
      <c r="V518" s="84"/>
      <c r="W518" s="84"/>
      <c r="Y518" s="84"/>
      <c r="Z518" s="84"/>
      <c r="AA518" s="84"/>
      <c r="AB518" s="84"/>
      <c r="AC518" s="84"/>
      <c r="AD518" s="84"/>
      <c r="AE518" s="84"/>
      <c r="AF518" s="84"/>
      <c r="AG518" s="84"/>
      <c r="AH518" s="84"/>
      <c r="AI518" s="84"/>
      <c r="AL518" s="84"/>
      <c r="AM518" s="84"/>
      <c r="AN518" s="84"/>
      <c r="AO518" s="84"/>
      <c r="AP518" s="84"/>
      <c r="AQ518" s="84"/>
      <c r="AR518" s="84"/>
      <c r="AS518" s="84"/>
      <c r="AT518" s="84"/>
      <c r="AU518" s="84"/>
      <c r="AV518" s="84"/>
      <c r="AY518" s="84"/>
      <c r="AZ518" s="84"/>
      <c r="BA518" s="84"/>
      <c r="BB518" s="84"/>
      <c r="BC518" s="84"/>
      <c r="BD518" s="84"/>
      <c r="BE518" s="84"/>
      <c r="BF518" s="942"/>
      <c r="BG518" s="942"/>
      <c r="BH518" s="942"/>
      <c r="BI518" s="84"/>
      <c r="BL518" s="84"/>
      <c r="BM518" s="84"/>
      <c r="BN518" s="84"/>
      <c r="BO518" s="84"/>
      <c r="BP518" s="84"/>
      <c r="BQ518" s="84"/>
      <c r="BR518" s="84"/>
      <c r="BS518" s="942"/>
      <c r="BT518" s="942"/>
      <c r="BU518" s="942"/>
      <c r="BV518" s="84"/>
    </row>
    <row r="519" spans="14:74" ht="14.25">
      <c r="N519" s="84"/>
      <c r="O519" s="84"/>
      <c r="P519" s="84"/>
      <c r="Q519" s="84"/>
      <c r="R519" s="84"/>
      <c r="S519" s="84"/>
      <c r="T519" s="84"/>
      <c r="U519" s="84"/>
      <c r="V519" s="84"/>
      <c r="W519" s="84"/>
      <c r="Y519" s="84"/>
      <c r="Z519" s="84"/>
      <c r="AA519" s="84"/>
      <c r="AB519" s="84"/>
      <c r="AC519" s="84"/>
      <c r="AD519" s="84"/>
      <c r="AE519" s="84"/>
      <c r="AF519" s="84"/>
      <c r="AG519" s="84"/>
      <c r="AH519" s="84"/>
      <c r="AI519" s="84"/>
      <c r="AL519" s="84"/>
      <c r="AM519" s="84"/>
      <c r="AN519" s="84"/>
      <c r="AO519" s="84"/>
      <c r="AP519" s="84"/>
      <c r="AQ519" s="84"/>
      <c r="AR519" s="84"/>
      <c r="AS519" s="84"/>
      <c r="AT519" s="84"/>
      <c r="AU519" s="84"/>
      <c r="AV519" s="84"/>
      <c r="AY519" s="84"/>
      <c r="AZ519" s="84"/>
      <c r="BA519" s="84"/>
      <c r="BB519" s="84"/>
      <c r="BC519" s="84"/>
      <c r="BD519" s="84"/>
      <c r="BE519" s="84"/>
      <c r="BF519" s="942"/>
      <c r="BG519" s="942"/>
      <c r="BH519" s="942"/>
      <c r="BI519" s="84"/>
      <c r="BL519" s="84"/>
      <c r="BM519" s="84"/>
      <c r="BN519" s="84"/>
      <c r="BO519" s="84"/>
      <c r="BP519" s="84"/>
      <c r="BQ519" s="84"/>
      <c r="BR519" s="84"/>
      <c r="BS519" s="942"/>
      <c r="BT519" s="942"/>
      <c r="BU519" s="942"/>
      <c r="BV519" s="84"/>
    </row>
    <row r="520" spans="14:74" ht="14.25">
      <c r="N520" s="84"/>
      <c r="O520" s="84"/>
      <c r="P520" s="84"/>
      <c r="Q520" s="84"/>
      <c r="R520" s="84"/>
      <c r="S520" s="84"/>
      <c r="T520" s="84"/>
      <c r="U520" s="84"/>
      <c r="V520" s="84"/>
      <c r="W520" s="84"/>
      <c r="Y520" s="84"/>
      <c r="Z520" s="84"/>
      <c r="AA520" s="84"/>
      <c r="AB520" s="84"/>
      <c r="AC520" s="84"/>
      <c r="AD520" s="84"/>
      <c r="AE520" s="84"/>
      <c r="AF520" s="84"/>
      <c r="AG520" s="84"/>
      <c r="AH520" s="84"/>
      <c r="AI520" s="84"/>
      <c r="AL520" s="84"/>
      <c r="AM520" s="84"/>
      <c r="AN520" s="84"/>
      <c r="AO520" s="84"/>
      <c r="AP520" s="84"/>
      <c r="AQ520" s="84"/>
      <c r="AR520" s="84"/>
      <c r="AS520" s="84"/>
      <c r="AT520" s="84"/>
      <c r="AU520" s="84"/>
      <c r="AV520" s="84"/>
      <c r="AY520" s="84"/>
      <c r="AZ520" s="84"/>
      <c r="BA520" s="84"/>
      <c r="BB520" s="84"/>
      <c r="BC520" s="84"/>
      <c r="BD520" s="84"/>
      <c r="BE520" s="84"/>
      <c r="BF520" s="942"/>
      <c r="BG520" s="942"/>
      <c r="BH520" s="942"/>
      <c r="BI520" s="84"/>
      <c r="BL520" s="84"/>
      <c r="BM520" s="84"/>
      <c r="BN520" s="84"/>
      <c r="BO520" s="84"/>
      <c r="BP520" s="84"/>
      <c r="BQ520" s="84"/>
      <c r="BR520" s="84"/>
      <c r="BS520" s="942"/>
      <c r="BT520" s="942"/>
      <c r="BU520" s="942"/>
      <c r="BV520" s="84"/>
    </row>
    <row r="521" spans="14:74" ht="14.25">
      <c r="N521" s="84"/>
      <c r="O521" s="84"/>
      <c r="P521" s="84"/>
      <c r="Q521" s="84"/>
      <c r="R521" s="84"/>
      <c r="S521" s="84"/>
      <c r="T521" s="84"/>
      <c r="U521" s="84"/>
      <c r="V521" s="84"/>
      <c r="W521" s="84"/>
      <c r="Y521" s="84"/>
      <c r="Z521" s="84"/>
      <c r="AA521" s="84"/>
      <c r="AB521" s="84"/>
      <c r="AC521" s="84"/>
      <c r="AD521" s="84"/>
      <c r="AE521" s="84"/>
      <c r="AF521" s="84"/>
      <c r="AG521" s="84"/>
      <c r="AH521" s="84"/>
      <c r="AI521" s="84"/>
      <c r="AL521" s="84"/>
      <c r="AM521" s="84"/>
      <c r="AN521" s="84"/>
      <c r="AO521" s="84"/>
      <c r="AP521" s="84"/>
      <c r="AQ521" s="84"/>
      <c r="AR521" s="84"/>
      <c r="AS521" s="84"/>
      <c r="AT521" s="84"/>
      <c r="AU521" s="84"/>
      <c r="AV521" s="84"/>
      <c r="AY521" s="84"/>
      <c r="AZ521" s="84"/>
      <c r="BA521" s="84"/>
      <c r="BB521" s="84"/>
      <c r="BC521" s="84"/>
      <c r="BD521" s="84"/>
      <c r="BE521" s="84"/>
      <c r="BF521" s="942"/>
      <c r="BG521" s="942"/>
      <c r="BH521" s="942"/>
      <c r="BI521" s="84"/>
      <c r="BL521" s="84"/>
      <c r="BM521" s="84"/>
      <c r="BN521" s="84"/>
      <c r="BO521" s="84"/>
      <c r="BP521" s="84"/>
      <c r="BQ521" s="84"/>
      <c r="BR521" s="84"/>
      <c r="BS521" s="942"/>
      <c r="BT521" s="942"/>
      <c r="BU521" s="942"/>
      <c r="BV521" s="84"/>
    </row>
    <row r="522" spans="14:74" ht="14.25">
      <c r="N522" s="84"/>
      <c r="O522" s="84"/>
      <c r="P522" s="84"/>
      <c r="Q522" s="84"/>
      <c r="R522" s="84"/>
      <c r="S522" s="84"/>
      <c r="T522" s="84"/>
      <c r="U522" s="84"/>
      <c r="V522" s="84"/>
      <c r="W522" s="84"/>
      <c r="Y522" s="84"/>
      <c r="Z522" s="84"/>
      <c r="AA522" s="84"/>
      <c r="AB522" s="84"/>
      <c r="AC522" s="84"/>
      <c r="AD522" s="84"/>
      <c r="AE522" s="84"/>
      <c r="AF522" s="84"/>
      <c r="AG522" s="84"/>
      <c r="AH522" s="84"/>
      <c r="AI522" s="84"/>
      <c r="AL522" s="84"/>
      <c r="AM522" s="84"/>
      <c r="AN522" s="84"/>
      <c r="AO522" s="84"/>
      <c r="AP522" s="84"/>
      <c r="AQ522" s="84"/>
      <c r="AR522" s="84"/>
      <c r="AS522" s="84"/>
      <c r="AT522" s="84"/>
      <c r="AU522" s="84"/>
      <c r="AV522" s="84"/>
      <c r="AY522" s="84"/>
      <c r="AZ522" s="84"/>
      <c r="BA522" s="84"/>
      <c r="BB522" s="84"/>
      <c r="BC522" s="84"/>
      <c r="BD522" s="84"/>
      <c r="BE522" s="84"/>
      <c r="BF522" s="942"/>
      <c r="BG522" s="942"/>
      <c r="BH522" s="942"/>
      <c r="BI522" s="84"/>
      <c r="BL522" s="84"/>
      <c r="BM522" s="84"/>
      <c r="BN522" s="84"/>
      <c r="BO522" s="84"/>
      <c r="BP522" s="84"/>
      <c r="BQ522" s="84"/>
      <c r="BR522" s="84"/>
      <c r="BS522" s="942"/>
      <c r="BT522" s="942"/>
      <c r="BU522" s="942"/>
      <c r="BV522" s="84"/>
    </row>
    <row r="523" spans="14:74" ht="14.25">
      <c r="N523" s="84"/>
      <c r="O523" s="84"/>
      <c r="P523" s="84"/>
      <c r="Q523" s="84"/>
      <c r="R523" s="84"/>
      <c r="S523" s="84"/>
      <c r="T523" s="84"/>
      <c r="U523" s="84"/>
      <c r="V523" s="84"/>
      <c r="W523" s="84"/>
      <c r="Y523" s="84"/>
      <c r="Z523" s="84"/>
      <c r="AA523" s="84"/>
      <c r="AB523" s="84"/>
      <c r="AC523" s="84"/>
      <c r="AD523" s="84"/>
      <c r="AE523" s="84"/>
      <c r="AF523" s="84"/>
      <c r="AG523" s="84"/>
      <c r="AH523" s="84"/>
      <c r="AI523" s="84"/>
      <c r="AL523" s="84"/>
      <c r="AM523" s="84"/>
      <c r="AN523" s="84"/>
      <c r="AO523" s="84"/>
      <c r="AP523" s="84"/>
      <c r="AQ523" s="84"/>
      <c r="AR523" s="84"/>
      <c r="AS523" s="84"/>
      <c r="AT523" s="84"/>
      <c r="AU523" s="84"/>
      <c r="AV523" s="84"/>
      <c r="AY523" s="84"/>
      <c r="AZ523" s="84"/>
      <c r="BA523" s="84"/>
      <c r="BB523" s="84"/>
      <c r="BC523" s="84"/>
      <c r="BD523" s="84"/>
      <c r="BE523" s="84"/>
      <c r="BF523" s="942"/>
      <c r="BG523" s="942"/>
      <c r="BH523" s="942"/>
      <c r="BI523" s="84"/>
      <c r="BL523" s="84"/>
      <c r="BM523" s="84"/>
      <c r="BN523" s="84"/>
      <c r="BO523" s="84"/>
      <c r="BP523" s="84"/>
      <c r="BQ523" s="84"/>
      <c r="BR523" s="84"/>
      <c r="BS523" s="942"/>
      <c r="BT523" s="942"/>
      <c r="BU523" s="942"/>
      <c r="BV523" s="84"/>
    </row>
    <row r="524" spans="14:74" ht="14.25">
      <c r="N524" s="84"/>
      <c r="O524" s="84"/>
      <c r="P524" s="84"/>
      <c r="Q524" s="84"/>
      <c r="R524" s="84"/>
      <c r="S524" s="84"/>
      <c r="T524" s="84"/>
      <c r="U524" s="84"/>
      <c r="V524" s="84"/>
      <c r="W524" s="84"/>
      <c r="Y524" s="84"/>
      <c r="Z524" s="84"/>
      <c r="AA524" s="84"/>
      <c r="AB524" s="84"/>
      <c r="AC524" s="84"/>
      <c r="AD524" s="84"/>
      <c r="AE524" s="84"/>
      <c r="AF524" s="84"/>
      <c r="AG524" s="84"/>
      <c r="AH524" s="84"/>
      <c r="AI524" s="84"/>
      <c r="AL524" s="84"/>
      <c r="AM524" s="84"/>
      <c r="AN524" s="84"/>
      <c r="AO524" s="84"/>
      <c r="AP524" s="84"/>
      <c r="AQ524" s="84"/>
      <c r="AR524" s="84"/>
      <c r="AS524" s="84"/>
      <c r="AT524" s="84"/>
      <c r="AU524" s="84"/>
      <c r="AV524" s="84"/>
      <c r="AY524" s="84"/>
      <c r="AZ524" s="84"/>
      <c r="BA524" s="84"/>
      <c r="BB524" s="84"/>
      <c r="BC524" s="84"/>
      <c r="BD524" s="84"/>
      <c r="BE524" s="84"/>
      <c r="BF524" s="942"/>
      <c r="BG524" s="942"/>
      <c r="BH524" s="942"/>
      <c r="BI524" s="84"/>
      <c r="BL524" s="84"/>
      <c r="BM524" s="84"/>
      <c r="BN524" s="84"/>
      <c r="BO524" s="84"/>
      <c r="BP524" s="84"/>
      <c r="BQ524" s="84"/>
      <c r="BR524" s="84"/>
      <c r="BS524" s="942"/>
      <c r="BT524" s="942"/>
      <c r="BU524" s="942"/>
      <c r="BV524" s="84"/>
    </row>
    <row r="525" spans="14:74" ht="14.25">
      <c r="N525" s="84"/>
      <c r="O525" s="84"/>
      <c r="P525" s="84"/>
      <c r="Q525" s="84"/>
      <c r="R525" s="84"/>
      <c r="S525" s="84"/>
      <c r="T525" s="84"/>
      <c r="U525" s="84"/>
      <c r="V525" s="84"/>
      <c r="W525" s="84"/>
      <c r="Y525" s="84"/>
      <c r="Z525" s="84"/>
      <c r="AA525" s="84"/>
      <c r="AB525" s="84"/>
      <c r="AC525" s="84"/>
      <c r="AD525" s="84"/>
      <c r="AE525" s="84"/>
      <c r="AF525" s="84"/>
      <c r="AG525" s="84"/>
      <c r="AH525" s="84"/>
      <c r="AI525" s="84"/>
      <c r="AL525" s="84"/>
      <c r="AM525" s="84"/>
      <c r="AN525" s="84"/>
      <c r="AO525" s="84"/>
      <c r="AP525" s="84"/>
      <c r="AQ525" s="84"/>
      <c r="AR525" s="84"/>
      <c r="AS525" s="84"/>
      <c r="AT525" s="84"/>
      <c r="AU525" s="84"/>
      <c r="AV525" s="84"/>
      <c r="AY525" s="84"/>
      <c r="AZ525" s="84"/>
      <c r="BA525" s="84"/>
      <c r="BB525" s="84"/>
      <c r="BC525" s="84"/>
      <c r="BD525" s="84"/>
      <c r="BE525" s="84"/>
      <c r="BF525" s="942"/>
      <c r="BG525" s="942"/>
      <c r="BH525" s="942"/>
      <c r="BI525" s="84"/>
      <c r="BL525" s="84"/>
      <c r="BM525" s="84"/>
      <c r="BN525" s="84"/>
      <c r="BO525" s="84"/>
      <c r="BP525" s="84"/>
      <c r="BQ525" s="84"/>
      <c r="BR525" s="84"/>
      <c r="BS525" s="942"/>
      <c r="BT525" s="942"/>
      <c r="BU525" s="942"/>
      <c r="BV525" s="84"/>
    </row>
    <row r="526" spans="14:74" ht="14.25">
      <c r="N526" s="84"/>
      <c r="O526" s="84"/>
      <c r="P526" s="84"/>
      <c r="Q526" s="84"/>
      <c r="R526" s="84"/>
      <c r="S526" s="84"/>
      <c r="T526" s="84"/>
      <c r="U526" s="84"/>
      <c r="V526" s="84"/>
      <c r="W526" s="84"/>
      <c r="Y526" s="84"/>
      <c r="Z526" s="84"/>
      <c r="AA526" s="84"/>
      <c r="AB526" s="84"/>
      <c r="AC526" s="84"/>
      <c r="AD526" s="84"/>
      <c r="AE526" s="84"/>
      <c r="AF526" s="84"/>
      <c r="AG526" s="84"/>
      <c r="AH526" s="84"/>
      <c r="AI526" s="84"/>
      <c r="AL526" s="84"/>
      <c r="AM526" s="84"/>
      <c r="AN526" s="84"/>
      <c r="AO526" s="84"/>
      <c r="AP526" s="84"/>
      <c r="AQ526" s="84"/>
      <c r="AR526" s="84"/>
      <c r="AS526" s="84"/>
      <c r="AT526" s="84"/>
      <c r="AU526" s="84"/>
      <c r="AV526" s="84"/>
      <c r="AY526" s="84"/>
      <c r="AZ526" s="84"/>
      <c r="BA526" s="84"/>
      <c r="BB526" s="84"/>
      <c r="BC526" s="84"/>
      <c r="BD526" s="84"/>
      <c r="BE526" s="84"/>
      <c r="BF526" s="942"/>
      <c r="BG526" s="942"/>
      <c r="BH526" s="942"/>
      <c r="BI526" s="84"/>
      <c r="BL526" s="84"/>
      <c r="BM526" s="84"/>
      <c r="BN526" s="84"/>
      <c r="BO526" s="84"/>
      <c r="BP526" s="84"/>
      <c r="BQ526" s="84"/>
      <c r="BR526" s="84"/>
      <c r="BS526" s="942"/>
      <c r="BT526" s="942"/>
      <c r="BU526" s="942"/>
      <c r="BV526" s="84"/>
    </row>
    <row r="527" spans="14:74" ht="14.25">
      <c r="N527" s="84"/>
      <c r="O527" s="84"/>
      <c r="P527" s="84"/>
      <c r="Q527" s="84"/>
      <c r="R527" s="84"/>
      <c r="S527" s="84"/>
      <c r="T527" s="84"/>
      <c r="U527" s="84"/>
      <c r="V527" s="84"/>
      <c r="W527" s="84"/>
      <c r="Y527" s="84"/>
      <c r="Z527" s="84"/>
      <c r="AA527" s="84"/>
      <c r="AB527" s="84"/>
      <c r="AC527" s="84"/>
      <c r="AD527" s="84"/>
      <c r="AE527" s="84"/>
      <c r="AF527" s="84"/>
      <c r="AG527" s="84"/>
      <c r="AH527" s="84"/>
      <c r="AI527" s="84"/>
      <c r="AL527" s="84"/>
      <c r="AM527" s="84"/>
      <c r="AN527" s="84"/>
      <c r="AO527" s="84"/>
      <c r="AP527" s="84"/>
      <c r="AQ527" s="84"/>
      <c r="AR527" s="84"/>
      <c r="AS527" s="84"/>
      <c r="AT527" s="84"/>
      <c r="AU527" s="84"/>
      <c r="AV527" s="84"/>
      <c r="AY527" s="84"/>
      <c r="AZ527" s="84"/>
      <c r="BA527" s="84"/>
      <c r="BB527" s="84"/>
      <c r="BC527" s="84"/>
      <c r="BD527" s="84"/>
      <c r="BE527" s="84"/>
      <c r="BF527" s="942"/>
      <c r="BG527" s="942"/>
      <c r="BH527" s="942"/>
      <c r="BI527" s="84"/>
      <c r="BL527" s="84"/>
      <c r="BM527" s="84"/>
      <c r="BN527" s="84"/>
      <c r="BO527" s="84"/>
      <c r="BP527" s="84"/>
      <c r="BQ527" s="84"/>
      <c r="BR527" s="84"/>
      <c r="BS527" s="942"/>
      <c r="BT527" s="942"/>
      <c r="BU527" s="942"/>
      <c r="BV527" s="84"/>
    </row>
    <row r="528" spans="14:74" ht="14.25">
      <c r="N528" s="84"/>
      <c r="O528" s="84"/>
      <c r="P528" s="84"/>
      <c r="Q528" s="84"/>
      <c r="R528" s="84"/>
      <c r="S528" s="84"/>
      <c r="T528" s="84"/>
      <c r="U528" s="84"/>
      <c r="V528" s="84"/>
      <c r="W528" s="84"/>
      <c r="Y528" s="84"/>
      <c r="Z528" s="84"/>
      <c r="AA528" s="84"/>
      <c r="AB528" s="84"/>
      <c r="AC528" s="84"/>
      <c r="AD528" s="84"/>
      <c r="AE528" s="84"/>
      <c r="AF528" s="84"/>
      <c r="AG528" s="84"/>
      <c r="AH528" s="84"/>
      <c r="AI528" s="84"/>
      <c r="AL528" s="84"/>
      <c r="AM528" s="84"/>
      <c r="AN528" s="84"/>
      <c r="AO528" s="84"/>
      <c r="AP528" s="84"/>
      <c r="AQ528" s="84"/>
      <c r="AR528" s="84"/>
      <c r="AS528" s="84"/>
      <c r="AT528" s="84"/>
      <c r="AU528" s="84"/>
      <c r="AV528" s="84"/>
      <c r="AY528" s="84"/>
      <c r="AZ528" s="84"/>
      <c r="BA528" s="84"/>
      <c r="BB528" s="84"/>
      <c r="BC528" s="84"/>
      <c r="BD528" s="84"/>
      <c r="BE528" s="84"/>
      <c r="BF528" s="942"/>
      <c r="BG528" s="942"/>
      <c r="BH528" s="942"/>
      <c r="BI528" s="84"/>
      <c r="BL528" s="84"/>
      <c r="BM528" s="84"/>
      <c r="BN528" s="84"/>
      <c r="BO528" s="84"/>
      <c r="BP528" s="84"/>
      <c r="BQ528" s="84"/>
      <c r="BR528" s="84"/>
      <c r="BS528" s="942"/>
      <c r="BT528" s="942"/>
      <c r="BU528" s="942"/>
      <c r="BV528" s="84"/>
    </row>
    <row r="529" spans="14:74" ht="14.25">
      <c r="N529" s="84"/>
      <c r="O529" s="84"/>
      <c r="P529" s="84"/>
      <c r="Q529" s="84"/>
      <c r="R529" s="84"/>
      <c r="S529" s="84"/>
      <c r="T529" s="84"/>
      <c r="U529" s="84"/>
      <c r="V529" s="84"/>
      <c r="W529" s="84"/>
      <c r="Y529" s="84"/>
      <c r="Z529" s="84"/>
      <c r="AA529" s="84"/>
      <c r="AB529" s="84"/>
      <c r="AC529" s="84"/>
      <c r="AD529" s="84"/>
      <c r="AE529" s="84"/>
      <c r="AF529" s="84"/>
      <c r="AG529" s="84"/>
      <c r="AH529" s="84"/>
      <c r="AI529" s="84"/>
      <c r="AL529" s="84"/>
      <c r="AM529" s="84"/>
      <c r="AN529" s="84"/>
      <c r="AO529" s="84"/>
      <c r="AP529" s="84"/>
      <c r="AQ529" s="84"/>
      <c r="AR529" s="84"/>
      <c r="AS529" s="84"/>
      <c r="AT529" s="84"/>
      <c r="AU529" s="84"/>
      <c r="AV529" s="84"/>
      <c r="AY529" s="84"/>
      <c r="AZ529" s="84"/>
      <c r="BA529" s="84"/>
      <c r="BB529" s="84"/>
      <c r="BC529" s="84"/>
      <c r="BD529" s="84"/>
      <c r="BE529" s="84"/>
      <c r="BF529" s="942"/>
      <c r="BG529" s="942"/>
      <c r="BH529" s="942"/>
      <c r="BI529" s="84"/>
      <c r="BL529" s="84"/>
      <c r="BM529" s="84"/>
      <c r="BN529" s="84"/>
      <c r="BO529" s="84"/>
      <c r="BP529" s="84"/>
      <c r="BQ529" s="84"/>
      <c r="BR529" s="84"/>
      <c r="BS529" s="942"/>
      <c r="BT529" s="942"/>
      <c r="BU529" s="942"/>
      <c r="BV529" s="84"/>
    </row>
    <row r="530" spans="14:74" ht="14.25">
      <c r="N530" s="84"/>
      <c r="O530" s="84"/>
      <c r="P530" s="84"/>
      <c r="Q530" s="84"/>
      <c r="R530" s="84"/>
      <c r="S530" s="84"/>
      <c r="T530" s="84"/>
      <c r="U530" s="84"/>
      <c r="V530" s="84"/>
      <c r="W530" s="84"/>
      <c r="Y530" s="84"/>
      <c r="Z530" s="84"/>
      <c r="AA530" s="84"/>
      <c r="AB530" s="84"/>
      <c r="AC530" s="84"/>
      <c r="AD530" s="84"/>
      <c r="AE530" s="84"/>
      <c r="AF530" s="84"/>
      <c r="AG530" s="84"/>
      <c r="AH530" s="84"/>
      <c r="AI530" s="84"/>
      <c r="AL530" s="84"/>
      <c r="AM530" s="84"/>
      <c r="AN530" s="84"/>
      <c r="AO530" s="84"/>
      <c r="AP530" s="84"/>
      <c r="AQ530" s="84"/>
      <c r="AR530" s="84"/>
      <c r="AS530" s="84"/>
      <c r="AT530" s="84"/>
      <c r="AU530" s="84"/>
      <c r="AV530" s="84"/>
      <c r="AY530" s="84"/>
      <c r="AZ530" s="84"/>
      <c r="BA530" s="84"/>
      <c r="BB530" s="84"/>
      <c r="BC530" s="84"/>
      <c r="BD530" s="84"/>
      <c r="BE530" s="84"/>
      <c r="BF530" s="942"/>
      <c r="BG530" s="942"/>
      <c r="BH530" s="942"/>
      <c r="BI530" s="84"/>
      <c r="BL530" s="84"/>
      <c r="BM530" s="84"/>
      <c r="BN530" s="84"/>
      <c r="BO530" s="84"/>
      <c r="BP530" s="84"/>
      <c r="BQ530" s="84"/>
      <c r="BR530" s="84"/>
      <c r="BS530" s="942"/>
      <c r="BT530" s="942"/>
      <c r="BU530" s="942"/>
      <c r="BV530" s="84"/>
    </row>
    <row r="531" spans="14:74" ht="14.25">
      <c r="N531" s="84"/>
      <c r="O531" s="84"/>
      <c r="P531" s="84"/>
      <c r="Q531" s="84"/>
      <c r="R531" s="84"/>
      <c r="S531" s="84"/>
      <c r="T531" s="84"/>
      <c r="U531" s="84"/>
      <c r="V531" s="84"/>
      <c r="W531" s="84"/>
      <c r="Y531" s="84"/>
      <c r="Z531" s="84"/>
      <c r="AA531" s="84"/>
      <c r="AB531" s="84"/>
      <c r="AC531" s="84"/>
      <c r="AD531" s="84"/>
      <c r="AE531" s="84"/>
      <c r="AF531" s="84"/>
      <c r="AG531" s="84"/>
      <c r="AH531" s="84"/>
      <c r="AI531" s="84"/>
      <c r="AL531" s="84"/>
      <c r="AM531" s="84"/>
      <c r="AN531" s="84"/>
      <c r="AO531" s="84"/>
      <c r="AP531" s="84"/>
      <c r="AQ531" s="84"/>
      <c r="AR531" s="84"/>
      <c r="AS531" s="84"/>
      <c r="AT531" s="84"/>
      <c r="AU531" s="84"/>
      <c r="AV531" s="84"/>
      <c r="AY531" s="84"/>
      <c r="AZ531" s="84"/>
      <c r="BA531" s="84"/>
      <c r="BB531" s="84"/>
      <c r="BC531" s="84"/>
      <c r="BD531" s="84"/>
      <c r="BE531" s="84"/>
      <c r="BF531" s="942"/>
      <c r="BG531" s="942"/>
      <c r="BH531" s="942"/>
      <c r="BI531" s="84"/>
      <c r="BL531" s="84"/>
      <c r="BM531" s="84"/>
      <c r="BN531" s="84"/>
      <c r="BO531" s="84"/>
      <c r="BP531" s="84"/>
      <c r="BQ531" s="84"/>
      <c r="BR531" s="84"/>
      <c r="BS531" s="942"/>
      <c r="BT531" s="942"/>
      <c r="BU531" s="942"/>
      <c r="BV531" s="84"/>
    </row>
    <row r="532" spans="14:74" ht="14.25">
      <c r="N532" s="84"/>
      <c r="O532" s="84"/>
      <c r="P532" s="84"/>
      <c r="Q532" s="84"/>
      <c r="R532" s="84"/>
      <c r="S532" s="84"/>
      <c r="T532" s="84"/>
      <c r="U532" s="84"/>
      <c r="V532" s="84"/>
      <c r="W532" s="84"/>
      <c r="Y532" s="84"/>
      <c r="Z532" s="84"/>
      <c r="AA532" s="84"/>
      <c r="AB532" s="84"/>
      <c r="AC532" s="84"/>
      <c r="AD532" s="84"/>
      <c r="AE532" s="84"/>
      <c r="AF532" s="84"/>
      <c r="AG532" s="84"/>
      <c r="AH532" s="84"/>
      <c r="AI532" s="84"/>
      <c r="AL532" s="84"/>
      <c r="AM532" s="84"/>
      <c r="AN532" s="84"/>
      <c r="AO532" s="84"/>
      <c r="AP532" s="84"/>
      <c r="AQ532" s="84"/>
      <c r="AR532" s="84"/>
      <c r="AS532" s="84"/>
      <c r="AT532" s="84"/>
      <c r="AU532" s="84"/>
      <c r="AV532" s="84"/>
      <c r="AY532" s="84"/>
      <c r="AZ532" s="84"/>
      <c r="BA532" s="84"/>
      <c r="BB532" s="84"/>
      <c r="BC532" s="84"/>
      <c r="BD532" s="84"/>
      <c r="BE532" s="84"/>
      <c r="BF532" s="942"/>
      <c r="BG532" s="942"/>
      <c r="BH532" s="942"/>
      <c r="BI532" s="84"/>
      <c r="BL532" s="84"/>
      <c r="BM532" s="84"/>
      <c r="BN532" s="84"/>
      <c r="BO532" s="84"/>
      <c r="BP532" s="84"/>
      <c r="BQ532" s="84"/>
      <c r="BR532" s="84"/>
      <c r="BS532" s="942"/>
      <c r="BT532" s="942"/>
      <c r="BU532" s="942"/>
      <c r="BV532" s="84"/>
    </row>
    <row r="533" spans="14:74" ht="14.25">
      <c r="N533" s="84"/>
      <c r="O533" s="84"/>
      <c r="P533" s="84"/>
      <c r="Q533" s="84"/>
      <c r="R533" s="84"/>
      <c r="S533" s="84"/>
      <c r="T533" s="84"/>
      <c r="U533" s="84"/>
      <c r="V533" s="84"/>
      <c r="W533" s="84"/>
      <c r="Y533" s="84"/>
      <c r="Z533" s="84"/>
      <c r="AA533" s="84"/>
      <c r="AB533" s="84"/>
      <c r="AC533" s="84"/>
      <c r="AD533" s="84"/>
      <c r="AE533" s="84"/>
      <c r="AF533" s="84"/>
      <c r="AG533" s="84"/>
      <c r="AH533" s="84"/>
      <c r="AI533" s="84"/>
      <c r="AL533" s="84"/>
      <c r="AM533" s="84"/>
      <c r="AN533" s="84"/>
      <c r="AO533" s="84"/>
      <c r="AP533" s="84"/>
      <c r="AQ533" s="84"/>
      <c r="AR533" s="84"/>
      <c r="AS533" s="84"/>
      <c r="AT533" s="84"/>
      <c r="AU533" s="84"/>
      <c r="AV533" s="84"/>
      <c r="AY533" s="84"/>
      <c r="AZ533" s="84"/>
      <c r="BA533" s="84"/>
      <c r="BB533" s="84"/>
      <c r="BC533" s="84"/>
      <c r="BD533" s="84"/>
      <c r="BE533" s="84"/>
      <c r="BF533" s="942"/>
      <c r="BG533" s="942"/>
      <c r="BH533" s="942"/>
      <c r="BI533" s="84"/>
      <c r="BL533" s="84"/>
      <c r="BM533" s="84"/>
      <c r="BN533" s="84"/>
      <c r="BO533" s="84"/>
      <c r="BP533" s="84"/>
      <c r="BQ533" s="84"/>
      <c r="BR533" s="84"/>
      <c r="BS533" s="942"/>
      <c r="BT533" s="942"/>
      <c r="BU533" s="942"/>
      <c r="BV533" s="84"/>
    </row>
    <row r="534" spans="14:74" ht="14.25">
      <c r="N534" s="84"/>
      <c r="O534" s="84"/>
      <c r="P534" s="84"/>
      <c r="Q534" s="84"/>
      <c r="R534" s="84"/>
      <c r="S534" s="84"/>
      <c r="T534" s="84"/>
      <c r="U534" s="84"/>
      <c r="V534" s="84"/>
      <c r="W534" s="84"/>
      <c r="Y534" s="84"/>
      <c r="Z534" s="84"/>
      <c r="AA534" s="84"/>
      <c r="AB534" s="84"/>
      <c r="AC534" s="84"/>
      <c r="AD534" s="84"/>
      <c r="AE534" s="84"/>
      <c r="AF534" s="84"/>
      <c r="AG534" s="84"/>
      <c r="AH534" s="84"/>
      <c r="AI534" s="84"/>
      <c r="AL534" s="84"/>
      <c r="AM534" s="84"/>
      <c r="AN534" s="84"/>
      <c r="AO534" s="84"/>
      <c r="AP534" s="84"/>
      <c r="AQ534" s="84"/>
      <c r="AR534" s="84"/>
      <c r="AS534" s="84"/>
      <c r="AT534" s="84"/>
      <c r="AU534" s="84"/>
      <c r="AV534" s="84"/>
      <c r="AY534" s="84"/>
      <c r="AZ534" s="84"/>
      <c r="BA534" s="84"/>
      <c r="BB534" s="84"/>
      <c r="BC534" s="84"/>
      <c r="BD534" s="84"/>
      <c r="BE534" s="84"/>
      <c r="BF534" s="942"/>
      <c r="BG534" s="942"/>
      <c r="BH534" s="942"/>
      <c r="BI534" s="84"/>
      <c r="BL534" s="84"/>
      <c r="BM534" s="84"/>
      <c r="BN534" s="84"/>
      <c r="BO534" s="84"/>
      <c r="BP534" s="84"/>
      <c r="BQ534" s="84"/>
      <c r="BR534" s="84"/>
      <c r="BS534" s="942"/>
      <c r="BT534" s="942"/>
      <c r="BU534" s="942"/>
      <c r="BV534" s="84"/>
    </row>
    <row r="535" spans="14:74" ht="14.25">
      <c r="N535" s="84"/>
      <c r="O535" s="84"/>
      <c r="P535" s="84"/>
      <c r="Q535" s="84"/>
      <c r="R535" s="84"/>
      <c r="S535" s="84"/>
      <c r="T535" s="84"/>
      <c r="U535" s="84"/>
      <c r="V535" s="84"/>
      <c r="W535" s="84"/>
      <c r="Y535" s="84"/>
      <c r="Z535" s="84"/>
      <c r="AA535" s="84"/>
      <c r="AB535" s="84"/>
      <c r="AC535" s="84"/>
      <c r="AD535" s="84"/>
      <c r="AE535" s="84"/>
      <c r="AF535" s="84"/>
      <c r="AG535" s="84"/>
      <c r="AH535" s="84"/>
      <c r="AI535" s="84"/>
      <c r="AL535" s="84"/>
      <c r="AM535" s="84"/>
      <c r="AN535" s="84"/>
      <c r="AO535" s="84"/>
      <c r="AP535" s="84"/>
      <c r="AQ535" s="84"/>
      <c r="AR535" s="84"/>
      <c r="AS535" s="84"/>
      <c r="AT535" s="84"/>
      <c r="AU535" s="84"/>
      <c r="AV535" s="84"/>
      <c r="AY535" s="84"/>
      <c r="AZ535" s="84"/>
      <c r="BA535" s="84"/>
      <c r="BB535" s="84"/>
      <c r="BC535" s="84"/>
      <c r="BD535" s="84"/>
      <c r="BE535" s="84"/>
      <c r="BF535" s="942"/>
      <c r="BG535" s="942"/>
      <c r="BH535" s="942"/>
      <c r="BI535" s="84"/>
      <c r="BL535" s="84"/>
      <c r="BM535" s="84"/>
      <c r="BN535" s="84"/>
      <c r="BO535" s="84"/>
      <c r="BP535" s="84"/>
      <c r="BQ535" s="84"/>
      <c r="BR535" s="84"/>
      <c r="BS535" s="942"/>
      <c r="BT535" s="942"/>
      <c r="BU535" s="942"/>
      <c r="BV535" s="84"/>
    </row>
    <row r="536" spans="14:74" ht="14.25">
      <c r="N536" s="84"/>
      <c r="O536" s="84"/>
      <c r="P536" s="84"/>
      <c r="Q536" s="84"/>
      <c r="R536" s="84"/>
      <c r="S536" s="84"/>
      <c r="T536" s="84"/>
      <c r="U536" s="84"/>
      <c r="V536" s="84"/>
      <c r="W536" s="84"/>
      <c r="Y536" s="84"/>
      <c r="Z536" s="84"/>
      <c r="AA536" s="84"/>
      <c r="AB536" s="84"/>
      <c r="AC536" s="84"/>
      <c r="AD536" s="84"/>
      <c r="AE536" s="84"/>
      <c r="AF536" s="84"/>
      <c r="AG536" s="84"/>
      <c r="AH536" s="84"/>
      <c r="AI536" s="84"/>
      <c r="AL536" s="84"/>
      <c r="AM536" s="84"/>
      <c r="AN536" s="84"/>
      <c r="AO536" s="84"/>
      <c r="AP536" s="84"/>
      <c r="AQ536" s="84"/>
      <c r="AR536" s="84"/>
      <c r="AS536" s="84"/>
      <c r="AT536" s="84"/>
      <c r="AU536" s="84"/>
      <c r="AV536" s="84"/>
      <c r="AY536" s="84"/>
      <c r="AZ536" s="84"/>
      <c r="BA536" s="84"/>
      <c r="BB536" s="84"/>
      <c r="BC536" s="84"/>
      <c r="BD536" s="84"/>
      <c r="BE536" s="84"/>
      <c r="BF536" s="942"/>
      <c r="BG536" s="942"/>
      <c r="BH536" s="942"/>
      <c r="BI536" s="84"/>
      <c r="BL536" s="84"/>
      <c r="BM536" s="84"/>
      <c r="BN536" s="84"/>
      <c r="BO536" s="84"/>
      <c r="BP536" s="84"/>
      <c r="BQ536" s="84"/>
      <c r="BR536" s="84"/>
      <c r="BS536" s="942"/>
      <c r="BT536" s="942"/>
      <c r="BU536" s="942"/>
      <c r="BV536" s="84"/>
    </row>
    <row r="537" spans="14:74" ht="14.25">
      <c r="N537" s="84"/>
      <c r="O537" s="84"/>
      <c r="P537" s="84"/>
      <c r="Q537" s="84"/>
      <c r="R537" s="84"/>
      <c r="S537" s="84"/>
      <c r="T537" s="84"/>
      <c r="U537" s="84"/>
      <c r="V537" s="84"/>
      <c r="W537" s="84"/>
      <c r="Y537" s="84"/>
      <c r="Z537" s="84"/>
      <c r="AA537" s="84"/>
      <c r="AB537" s="84"/>
      <c r="AC537" s="84"/>
      <c r="AD537" s="84"/>
      <c r="AE537" s="84"/>
      <c r="AF537" s="84"/>
      <c r="AG537" s="84"/>
      <c r="AH537" s="84"/>
      <c r="AI537" s="84"/>
      <c r="AL537" s="84"/>
      <c r="AM537" s="84"/>
      <c r="AN537" s="84"/>
      <c r="AO537" s="84"/>
      <c r="AP537" s="84"/>
      <c r="AQ537" s="84"/>
      <c r="AR537" s="84"/>
      <c r="AS537" s="84"/>
      <c r="AT537" s="84"/>
      <c r="AU537" s="84"/>
      <c r="AV537" s="84"/>
      <c r="AY537" s="84"/>
      <c r="AZ537" s="84"/>
      <c r="BA537" s="84"/>
      <c r="BB537" s="84"/>
      <c r="BC537" s="84"/>
      <c r="BD537" s="84"/>
      <c r="BE537" s="84"/>
      <c r="BF537" s="942"/>
      <c r="BG537" s="942"/>
      <c r="BH537" s="942"/>
      <c r="BI537" s="84"/>
      <c r="BL537" s="84"/>
      <c r="BM537" s="84"/>
      <c r="BN537" s="84"/>
      <c r="BO537" s="84"/>
      <c r="BP537" s="84"/>
      <c r="BQ537" s="84"/>
      <c r="BR537" s="84"/>
      <c r="BS537" s="942"/>
      <c r="BT537" s="942"/>
      <c r="BU537" s="942"/>
      <c r="BV537" s="84"/>
    </row>
    <row r="538" spans="14:74" ht="14.25">
      <c r="N538" s="84"/>
      <c r="O538" s="84"/>
      <c r="P538" s="84"/>
      <c r="Q538" s="84"/>
      <c r="R538" s="84"/>
      <c r="S538" s="84"/>
      <c r="T538" s="84"/>
      <c r="U538" s="84"/>
      <c r="V538" s="84"/>
      <c r="W538" s="84"/>
      <c r="Y538" s="84"/>
      <c r="Z538" s="84"/>
      <c r="AA538" s="84"/>
      <c r="AB538" s="84"/>
      <c r="AC538" s="84"/>
      <c r="AD538" s="84"/>
      <c r="AE538" s="84"/>
      <c r="AF538" s="84"/>
      <c r="AG538" s="84"/>
      <c r="AH538" s="84"/>
      <c r="AI538" s="84"/>
      <c r="AL538" s="84"/>
      <c r="AM538" s="84"/>
      <c r="AN538" s="84"/>
      <c r="AO538" s="84"/>
      <c r="AP538" s="84"/>
      <c r="AQ538" s="84"/>
      <c r="AR538" s="84"/>
      <c r="AS538" s="84"/>
      <c r="AT538" s="84"/>
      <c r="AU538" s="84"/>
      <c r="AV538" s="84"/>
      <c r="AY538" s="84"/>
      <c r="AZ538" s="84"/>
      <c r="BA538" s="84"/>
      <c r="BB538" s="84"/>
      <c r="BC538" s="84"/>
      <c r="BD538" s="84"/>
      <c r="BE538" s="84"/>
      <c r="BF538" s="942"/>
      <c r="BG538" s="942"/>
      <c r="BH538" s="942"/>
      <c r="BI538" s="84"/>
      <c r="BL538" s="84"/>
      <c r="BM538" s="84"/>
      <c r="BN538" s="84"/>
      <c r="BO538" s="84"/>
      <c r="BP538" s="84"/>
      <c r="BQ538" s="84"/>
      <c r="BR538" s="84"/>
      <c r="BS538" s="942"/>
      <c r="BT538" s="942"/>
      <c r="BU538" s="942"/>
      <c r="BV538" s="84"/>
    </row>
    <row r="539" spans="14:74" ht="14.25">
      <c r="N539" s="84"/>
      <c r="O539" s="84"/>
      <c r="P539" s="84"/>
      <c r="Q539" s="84"/>
      <c r="R539" s="84"/>
      <c r="S539" s="84"/>
      <c r="T539" s="84"/>
      <c r="U539" s="84"/>
      <c r="V539" s="84"/>
      <c r="W539" s="84"/>
      <c r="Y539" s="84"/>
      <c r="Z539" s="84"/>
      <c r="AA539" s="84"/>
      <c r="AB539" s="84"/>
      <c r="AC539" s="84"/>
      <c r="AD539" s="84"/>
      <c r="AE539" s="84"/>
      <c r="AF539" s="84"/>
      <c r="AG539" s="84"/>
      <c r="AH539" s="84"/>
      <c r="AI539" s="84"/>
      <c r="AL539" s="84"/>
      <c r="AM539" s="84"/>
      <c r="AN539" s="84"/>
      <c r="AO539" s="84"/>
      <c r="AP539" s="84"/>
      <c r="AQ539" s="84"/>
      <c r="AR539" s="84"/>
      <c r="AS539" s="84"/>
      <c r="AT539" s="84"/>
      <c r="AU539" s="84"/>
      <c r="AV539" s="84"/>
      <c r="AY539" s="84"/>
      <c r="AZ539" s="84"/>
      <c r="BA539" s="84"/>
      <c r="BB539" s="84"/>
      <c r="BC539" s="84"/>
      <c r="BD539" s="84"/>
      <c r="BE539" s="84"/>
      <c r="BF539" s="942"/>
      <c r="BG539" s="942"/>
      <c r="BH539" s="942"/>
      <c r="BI539" s="84"/>
      <c r="BL539" s="84"/>
      <c r="BM539" s="84"/>
      <c r="BN539" s="84"/>
      <c r="BO539" s="84"/>
      <c r="BP539" s="84"/>
      <c r="BQ539" s="84"/>
      <c r="BR539" s="84"/>
      <c r="BS539" s="942"/>
      <c r="BT539" s="942"/>
      <c r="BU539" s="942"/>
      <c r="BV539" s="84"/>
    </row>
    <row r="540" spans="14:74" ht="14.25">
      <c r="N540" s="84"/>
      <c r="O540" s="84"/>
      <c r="P540" s="84"/>
      <c r="Q540" s="84"/>
      <c r="R540" s="84"/>
      <c r="S540" s="84"/>
      <c r="T540" s="84"/>
      <c r="U540" s="84"/>
      <c r="V540" s="84"/>
      <c r="W540" s="84"/>
      <c r="Y540" s="84"/>
      <c r="Z540" s="84"/>
      <c r="AA540" s="84"/>
      <c r="AB540" s="84"/>
      <c r="AC540" s="84"/>
      <c r="AD540" s="84"/>
      <c r="AE540" s="84"/>
      <c r="AF540" s="84"/>
      <c r="AG540" s="84"/>
      <c r="AH540" s="84"/>
      <c r="AI540" s="84"/>
      <c r="AL540" s="84"/>
      <c r="AM540" s="84"/>
      <c r="AN540" s="84"/>
      <c r="AO540" s="84"/>
      <c r="AP540" s="84"/>
      <c r="AQ540" s="84"/>
      <c r="AR540" s="84"/>
      <c r="AS540" s="84"/>
      <c r="AT540" s="84"/>
      <c r="AU540" s="84"/>
      <c r="AV540" s="84"/>
      <c r="AY540" s="84"/>
      <c r="AZ540" s="84"/>
      <c r="BA540" s="84"/>
      <c r="BB540" s="84"/>
      <c r="BC540" s="84"/>
      <c r="BD540" s="84"/>
      <c r="BE540" s="84"/>
      <c r="BF540" s="942"/>
      <c r="BG540" s="942"/>
      <c r="BH540" s="942"/>
      <c r="BI540" s="84"/>
      <c r="BL540" s="84"/>
      <c r="BM540" s="84"/>
      <c r="BN540" s="84"/>
      <c r="BO540" s="84"/>
      <c r="BP540" s="84"/>
      <c r="BQ540" s="84"/>
      <c r="BR540" s="84"/>
      <c r="BS540" s="942"/>
      <c r="BT540" s="942"/>
      <c r="BU540" s="942"/>
      <c r="BV540" s="84"/>
    </row>
    <row r="541" spans="14:74" ht="14.25">
      <c r="N541" s="84"/>
      <c r="O541" s="84"/>
      <c r="P541" s="84"/>
      <c r="Q541" s="84"/>
      <c r="R541" s="84"/>
      <c r="S541" s="84"/>
      <c r="T541" s="84"/>
      <c r="U541" s="84"/>
      <c r="V541" s="84"/>
      <c r="W541" s="84"/>
      <c r="Y541" s="84"/>
      <c r="Z541" s="84"/>
      <c r="AA541" s="84"/>
      <c r="AB541" s="84"/>
      <c r="AC541" s="84"/>
      <c r="AD541" s="84"/>
      <c r="AE541" s="84"/>
      <c r="AF541" s="84"/>
      <c r="AG541" s="84"/>
      <c r="AH541" s="84"/>
      <c r="AI541" s="84"/>
      <c r="AL541" s="84"/>
      <c r="AM541" s="84"/>
      <c r="AN541" s="84"/>
      <c r="AO541" s="84"/>
      <c r="AP541" s="84"/>
      <c r="AQ541" s="84"/>
      <c r="AR541" s="84"/>
      <c r="AS541" s="84"/>
      <c r="AT541" s="84"/>
      <c r="AU541" s="84"/>
      <c r="AV541" s="84"/>
      <c r="AY541" s="84"/>
      <c r="AZ541" s="84"/>
      <c r="BA541" s="84"/>
      <c r="BB541" s="84"/>
      <c r="BC541" s="84"/>
      <c r="BD541" s="84"/>
      <c r="BE541" s="84"/>
      <c r="BF541" s="942"/>
      <c r="BG541" s="942"/>
      <c r="BH541" s="942"/>
      <c r="BI541" s="84"/>
      <c r="BL541" s="84"/>
      <c r="BM541" s="84"/>
      <c r="BN541" s="84"/>
      <c r="BO541" s="84"/>
      <c r="BP541" s="84"/>
      <c r="BQ541" s="84"/>
      <c r="BR541" s="84"/>
      <c r="BS541" s="942"/>
      <c r="BT541" s="942"/>
      <c r="BU541" s="942"/>
      <c r="BV541" s="84"/>
    </row>
    <row r="542" spans="14:74" ht="14.25">
      <c r="N542" s="84"/>
      <c r="O542" s="84"/>
      <c r="P542" s="84"/>
      <c r="Q542" s="84"/>
      <c r="R542" s="84"/>
      <c r="S542" s="84"/>
      <c r="T542" s="84"/>
      <c r="U542" s="84"/>
      <c r="V542" s="84"/>
      <c r="W542" s="84"/>
      <c r="Y542" s="84"/>
      <c r="Z542" s="84"/>
      <c r="AA542" s="84"/>
      <c r="AB542" s="84"/>
      <c r="AC542" s="84"/>
      <c r="AD542" s="84"/>
      <c r="AE542" s="84"/>
      <c r="AF542" s="84"/>
      <c r="AG542" s="84"/>
      <c r="AH542" s="84"/>
      <c r="AI542" s="84"/>
      <c r="AL542" s="84"/>
      <c r="AM542" s="84"/>
      <c r="AN542" s="84"/>
      <c r="AO542" s="84"/>
      <c r="AP542" s="84"/>
      <c r="AQ542" s="84"/>
      <c r="AR542" s="84"/>
      <c r="AS542" s="84"/>
      <c r="AT542" s="84"/>
      <c r="AU542" s="84"/>
      <c r="AV542" s="84"/>
      <c r="AY542" s="84"/>
      <c r="AZ542" s="84"/>
      <c r="BA542" s="84"/>
      <c r="BB542" s="84"/>
      <c r="BC542" s="84"/>
      <c r="BD542" s="84"/>
      <c r="BE542" s="84"/>
      <c r="BF542" s="942"/>
      <c r="BG542" s="942"/>
      <c r="BH542" s="942"/>
      <c r="BI542" s="84"/>
      <c r="BL542" s="84"/>
      <c r="BM542" s="84"/>
      <c r="BN542" s="84"/>
      <c r="BO542" s="84"/>
      <c r="BP542" s="84"/>
      <c r="BQ542" s="84"/>
      <c r="BR542" s="84"/>
      <c r="BS542" s="942"/>
      <c r="BT542" s="942"/>
      <c r="BU542" s="942"/>
      <c r="BV542" s="84"/>
    </row>
    <row r="543" spans="14:74" ht="14.25">
      <c r="N543" s="84"/>
      <c r="O543" s="84"/>
      <c r="P543" s="84"/>
      <c r="Q543" s="84"/>
      <c r="R543" s="84"/>
      <c r="S543" s="84"/>
      <c r="T543" s="84"/>
      <c r="U543" s="84"/>
      <c r="V543" s="84"/>
      <c r="W543" s="84"/>
      <c r="Y543" s="84"/>
      <c r="Z543" s="84"/>
      <c r="AA543" s="84"/>
      <c r="AB543" s="84"/>
      <c r="AC543" s="84"/>
      <c r="AD543" s="84"/>
      <c r="AE543" s="84"/>
      <c r="AF543" s="84"/>
      <c r="AG543" s="84"/>
      <c r="AH543" s="84"/>
      <c r="AI543" s="84"/>
      <c r="AL543" s="84"/>
      <c r="AM543" s="84"/>
      <c r="AN543" s="84"/>
      <c r="AO543" s="84"/>
      <c r="AP543" s="84"/>
      <c r="AQ543" s="84"/>
      <c r="AR543" s="84"/>
      <c r="AS543" s="84"/>
      <c r="AT543" s="84"/>
      <c r="AU543" s="84"/>
      <c r="AV543" s="84"/>
      <c r="AY543" s="84"/>
      <c r="AZ543" s="84"/>
      <c r="BA543" s="84"/>
      <c r="BB543" s="84"/>
      <c r="BC543" s="84"/>
      <c r="BD543" s="84"/>
      <c r="BE543" s="84"/>
      <c r="BF543" s="942"/>
      <c r="BG543" s="942"/>
      <c r="BH543" s="942"/>
      <c r="BI543" s="84"/>
      <c r="BL543" s="84"/>
      <c r="BM543" s="84"/>
      <c r="BN543" s="84"/>
      <c r="BO543" s="84"/>
      <c r="BP543" s="84"/>
      <c r="BQ543" s="84"/>
      <c r="BR543" s="84"/>
      <c r="BS543" s="942"/>
      <c r="BT543" s="942"/>
      <c r="BU543" s="942"/>
      <c r="BV543" s="84"/>
    </row>
    <row r="544" spans="14:74" ht="14.25">
      <c r="N544" s="84"/>
      <c r="O544" s="84"/>
      <c r="P544" s="84"/>
      <c r="Q544" s="84"/>
      <c r="R544" s="84"/>
      <c r="S544" s="84"/>
      <c r="T544" s="84"/>
      <c r="U544" s="84"/>
      <c r="V544" s="84"/>
      <c r="W544" s="84"/>
      <c r="Y544" s="84"/>
      <c r="Z544" s="84"/>
      <c r="AA544" s="84"/>
      <c r="AB544" s="84"/>
      <c r="AC544" s="84"/>
      <c r="AD544" s="84"/>
      <c r="AE544" s="84"/>
      <c r="AF544" s="84"/>
      <c r="AG544" s="84"/>
      <c r="AH544" s="84"/>
      <c r="AI544" s="84"/>
      <c r="AL544" s="84"/>
      <c r="AM544" s="84"/>
      <c r="AN544" s="84"/>
      <c r="AO544" s="84"/>
      <c r="AP544" s="84"/>
      <c r="AQ544" s="84"/>
      <c r="AR544" s="84"/>
      <c r="AS544" s="84"/>
      <c r="AT544" s="84"/>
      <c r="AU544" s="84"/>
      <c r="AV544" s="84"/>
      <c r="AY544" s="84"/>
      <c r="AZ544" s="84"/>
      <c r="BA544" s="84"/>
      <c r="BB544" s="84"/>
      <c r="BC544" s="84"/>
      <c r="BD544" s="84"/>
      <c r="BE544" s="84"/>
      <c r="BF544" s="942"/>
      <c r="BG544" s="942"/>
      <c r="BH544" s="942"/>
      <c r="BI544" s="84"/>
      <c r="BL544" s="84"/>
      <c r="BM544" s="84"/>
      <c r="BN544" s="84"/>
      <c r="BO544" s="84"/>
      <c r="BP544" s="84"/>
      <c r="BQ544" s="84"/>
      <c r="BR544" s="84"/>
      <c r="BS544" s="942"/>
      <c r="BT544" s="942"/>
      <c r="BU544" s="942"/>
      <c r="BV544" s="84"/>
    </row>
    <row r="545" spans="14:74" ht="14.25">
      <c r="N545" s="84"/>
      <c r="O545" s="84"/>
      <c r="P545" s="84"/>
      <c r="Q545" s="84"/>
      <c r="R545" s="84"/>
      <c r="S545" s="84"/>
      <c r="T545" s="84"/>
      <c r="U545" s="84"/>
      <c r="V545" s="84"/>
      <c r="W545" s="84"/>
      <c r="Y545" s="84"/>
      <c r="Z545" s="84"/>
      <c r="AA545" s="84"/>
      <c r="AB545" s="84"/>
      <c r="AC545" s="84"/>
      <c r="AD545" s="84"/>
      <c r="AE545" s="84"/>
      <c r="AF545" s="84"/>
      <c r="AG545" s="84"/>
      <c r="AH545" s="84"/>
      <c r="AI545" s="84"/>
      <c r="AL545" s="84"/>
      <c r="AM545" s="84"/>
      <c r="AN545" s="84"/>
      <c r="AO545" s="84"/>
      <c r="AP545" s="84"/>
      <c r="AQ545" s="84"/>
      <c r="AR545" s="84"/>
      <c r="AS545" s="84"/>
      <c r="AT545" s="84"/>
      <c r="AU545" s="84"/>
      <c r="AV545" s="84"/>
      <c r="AY545" s="84"/>
      <c r="AZ545" s="84"/>
      <c r="BA545" s="84"/>
      <c r="BB545" s="84"/>
      <c r="BC545" s="84"/>
      <c r="BD545" s="84"/>
      <c r="BE545" s="84"/>
      <c r="BF545" s="942"/>
      <c r="BG545" s="942"/>
      <c r="BH545" s="942"/>
      <c r="BI545" s="84"/>
      <c r="BL545" s="84"/>
      <c r="BM545" s="84"/>
      <c r="BN545" s="84"/>
      <c r="BO545" s="84"/>
      <c r="BP545" s="84"/>
      <c r="BQ545" s="84"/>
      <c r="BR545" s="84"/>
      <c r="BS545" s="942"/>
      <c r="BT545" s="942"/>
      <c r="BU545" s="942"/>
      <c r="BV545" s="84"/>
    </row>
    <row r="546" spans="14:74" ht="14.25">
      <c r="N546" s="84"/>
      <c r="O546" s="84"/>
      <c r="P546" s="84"/>
      <c r="Q546" s="84"/>
      <c r="R546" s="84"/>
      <c r="S546" s="84"/>
      <c r="T546" s="84"/>
      <c r="U546" s="84"/>
      <c r="V546" s="84"/>
      <c r="W546" s="84"/>
      <c r="Y546" s="84"/>
      <c r="Z546" s="84"/>
      <c r="AA546" s="84"/>
      <c r="AB546" s="84"/>
      <c r="AC546" s="84"/>
      <c r="AD546" s="84"/>
      <c r="AE546" s="84"/>
      <c r="AF546" s="84"/>
      <c r="AG546" s="84"/>
      <c r="AH546" s="84"/>
      <c r="AI546" s="84"/>
      <c r="AL546" s="84"/>
      <c r="AM546" s="84"/>
      <c r="AN546" s="84"/>
      <c r="AO546" s="84"/>
      <c r="AP546" s="84"/>
      <c r="AQ546" s="84"/>
      <c r="AR546" s="84"/>
      <c r="AS546" s="84"/>
      <c r="AT546" s="84"/>
      <c r="AU546" s="84"/>
      <c r="AV546" s="84"/>
      <c r="AY546" s="84"/>
      <c r="AZ546" s="84"/>
      <c r="BA546" s="84"/>
      <c r="BB546" s="84"/>
      <c r="BC546" s="84"/>
      <c r="BD546" s="84"/>
      <c r="BE546" s="84"/>
      <c r="BF546" s="942"/>
      <c r="BG546" s="942"/>
      <c r="BH546" s="942"/>
      <c r="BI546" s="84"/>
      <c r="BL546" s="84"/>
      <c r="BM546" s="84"/>
      <c r="BN546" s="84"/>
      <c r="BO546" s="84"/>
      <c r="BP546" s="84"/>
      <c r="BQ546" s="84"/>
      <c r="BR546" s="84"/>
      <c r="BS546" s="942"/>
      <c r="BT546" s="942"/>
      <c r="BU546" s="942"/>
      <c r="BV546" s="84"/>
    </row>
    <row r="547" spans="14:74" ht="14.25">
      <c r="N547" s="84"/>
      <c r="O547" s="84"/>
      <c r="P547" s="84"/>
      <c r="Q547" s="84"/>
      <c r="R547" s="84"/>
      <c r="S547" s="84"/>
      <c r="T547" s="84"/>
      <c r="U547" s="84"/>
      <c r="V547" s="84"/>
      <c r="W547" s="84"/>
      <c r="Y547" s="84"/>
      <c r="Z547" s="84"/>
      <c r="AA547" s="84"/>
      <c r="AB547" s="84"/>
      <c r="AC547" s="84"/>
      <c r="AD547" s="84"/>
      <c r="AE547" s="84"/>
      <c r="AF547" s="84"/>
      <c r="AG547" s="84"/>
      <c r="AH547" s="84"/>
      <c r="AI547" s="84"/>
      <c r="AL547" s="84"/>
      <c r="AM547" s="84"/>
      <c r="AN547" s="84"/>
      <c r="AO547" s="84"/>
      <c r="AP547" s="84"/>
      <c r="AQ547" s="84"/>
      <c r="AR547" s="84"/>
      <c r="AS547" s="84"/>
      <c r="AT547" s="84"/>
      <c r="AU547" s="84"/>
      <c r="AV547" s="84"/>
      <c r="AY547" s="84"/>
      <c r="AZ547" s="84"/>
      <c r="BA547" s="84"/>
      <c r="BB547" s="84"/>
      <c r="BC547" s="84"/>
      <c r="BD547" s="84"/>
      <c r="BE547" s="84"/>
      <c r="BF547" s="942"/>
      <c r="BG547" s="942"/>
      <c r="BH547" s="942"/>
      <c r="BI547" s="84"/>
      <c r="BL547" s="84"/>
      <c r="BM547" s="84"/>
      <c r="BN547" s="84"/>
      <c r="BO547" s="84"/>
      <c r="BP547" s="84"/>
      <c r="BQ547" s="84"/>
      <c r="BR547" s="84"/>
      <c r="BS547" s="942"/>
      <c r="BT547" s="942"/>
      <c r="BU547" s="942"/>
      <c r="BV547" s="84"/>
    </row>
    <row r="548" spans="14:74" ht="14.25">
      <c r="N548" s="84"/>
      <c r="O548" s="84"/>
      <c r="P548" s="84"/>
      <c r="Q548" s="84"/>
      <c r="R548" s="84"/>
      <c r="S548" s="84"/>
      <c r="T548" s="84"/>
      <c r="U548" s="84"/>
      <c r="V548" s="84"/>
      <c r="W548" s="84"/>
      <c r="Y548" s="84"/>
      <c r="Z548" s="84"/>
      <c r="AA548" s="84"/>
      <c r="AB548" s="84"/>
      <c r="AC548" s="84"/>
      <c r="AD548" s="84"/>
      <c r="AE548" s="84"/>
      <c r="AF548" s="84"/>
      <c r="AG548" s="84"/>
      <c r="AH548" s="84"/>
      <c r="AI548" s="84"/>
      <c r="AL548" s="84"/>
      <c r="AM548" s="84"/>
      <c r="AN548" s="84"/>
      <c r="AO548" s="84"/>
      <c r="AP548" s="84"/>
      <c r="AQ548" s="84"/>
      <c r="AR548" s="84"/>
      <c r="AS548" s="84"/>
      <c r="AT548" s="84"/>
      <c r="AU548" s="84"/>
      <c r="AV548" s="84"/>
      <c r="AY548" s="84"/>
      <c r="AZ548" s="84"/>
      <c r="BA548" s="84"/>
      <c r="BB548" s="84"/>
      <c r="BC548" s="84"/>
      <c r="BD548" s="84"/>
      <c r="BE548" s="84"/>
      <c r="BF548" s="942"/>
      <c r="BG548" s="942"/>
      <c r="BH548" s="942"/>
      <c r="BI548" s="84"/>
      <c r="BL548" s="84"/>
      <c r="BM548" s="84"/>
      <c r="BN548" s="84"/>
      <c r="BO548" s="84"/>
      <c r="BP548" s="84"/>
      <c r="BQ548" s="84"/>
      <c r="BR548" s="84"/>
      <c r="BS548" s="942"/>
      <c r="BT548" s="942"/>
      <c r="BU548" s="942"/>
      <c r="BV548" s="84"/>
    </row>
    <row r="549" spans="14:74" ht="14.25">
      <c r="N549" s="84"/>
      <c r="O549" s="84"/>
      <c r="P549" s="84"/>
      <c r="Q549" s="84"/>
      <c r="R549" s="84"/>
      <c r="S549" s="84"/>
      <c r="T549" s="84"/>
      <c r="U549" s="84"/>
      <c r="V549" s="84"/>
      <c r="W549" s="84"/>
      <c r="Y549" s="84"/>
      <c r="Z549" s="84"/>
      <c r="AA549" s="84"/>
      <c r="AB549" s="84"/>
      <c r="AC549" s="84"/>
      <c r="AD549" s="84"/>
      <c r="AE549" s="84"/>
      <c r="AF549" s="84"/>
      <c r="AG549" s="84"/>
      <c r="AH549" s="84"/>
      <c r="AI549" s="84"/>
      <c r="AL549" s="84"/>
      <c r="AM549" s="84"/>
      <c r="AN549" s="84"/>
      <c r="AO549" s="84"/>
      <c r="AP549" s="84"/>
      <c r="AQ549" s="84"/>
      <c r="AR549" s="84"/>
      <c r="AS549" s="84"/>
      <c r="AT549" s="84"/>
      <c r="AU549" s="84"/>
      <c r="AV549" s="84"/>
      <c r="AY549" s="84"/>
      <c r="AZ549" s="84"/>
      <c r="BA549" s="84"/>
      <c r="BB549" s="84"/>
      <c r="BC549" s="84"/>
      <c r="BD549" s="84"/>
      <c r="BE549" s="84"/>
      <c r="BF549" s="942"/>
      <c r="BG549" s="942"/>
      <c r="BH549" s="942"/>
      <c r="BI549" s="84"/>
      <c r="BL549" s="84"/>
      <c r="BM549" s="84"/>
      <c r="BN549" s="84"/>
      <c r="BO549" s="84"/>
      <c r="BP549" s="84"/>
      <c r="BQ549" s="84"/>
      <c r="BR549" s="84"/>
      <c r="BS549" s="942"/>
      <c r="BT549" s="942"/>
      <c r="BU549" s="942"/>
      <c r="BV549" s="84"/>
    </row>
    <row r="550" spans="14:74" ht="14.25">
      <c r="N550" s="84"/>
      <c r="O550" s="84"/>
      <c r="P550" s="84"/>
      <c r="Q550" s="84"/>
      <c r="R550" s="84"/>
      <c r="S550" s="84"/>
      <c r="T550" s="84"/>
      <c r="U550" s="84"/>
      <c r="V550" s="84"/>
      <c r="W550" s="84"/>
      <c r="Y550" s="84"/>
      <c r="Z550" s="84"/>
      <c r="AA550" s="84"/>
      <c r="AB550" s="84"/>
      <c r="AC550" s="84"/>
      <c r="AD550" s="84"/>
      <c r="AE550" s="84"/>
      <c r="AF550" s="84"/>
      <c r="AG550" s="84"/>
      <c r="AH550" s="84"/>
      <c r="AI550" s="84"/>
      <c r="AL550" s="84"/>
      <c r="AM550" s="84"/>
      <c r="AN550" s="84"/>
      <c r="AO550" s="84"/>
      <c r="AP550" s="84"/>
      <c r="AQ550" s="84"/>
      <c r="AR550" s="84"/>
      <c r="AS550" s="84"/>
      <c r="AT550" s="84"/>
      <c r="AU550" s="84"/>
      <c r="AV550" s="84"/>
      <c r="AY550" s="84"/>
      <c r="AZ550" s="84"/>
      <c r="BA550" s="84"/>
      <c r="BB550" s="84"/>
      <c r="BC550" s="84"/>
      <c r="BD550" s="84"/>
      <c r="BE550" s="84"/>
      <c r="BF550" s="942"/>
      <c r="BG550" s="942"/>
      <c r="BH550" s="942"/>
      <c r="BI550" s="84"/>
      <c r="BL550" s="84"/>
      <c r="BM550" s="84"/>
      <c r="BN550" s="84"/>
      <c r="BO550" s="84"/>
      <c r="BP550" s="84"/>
      <c r="BQ550" s="84"/>
      <c r="BR550" s="84"/>
      <c r="BS550" s="942"/>
      <c r="BT550" s="942"/>
      <c r="BU550" s="942"/>
      <c r="BV550" s="84"/>
    </row>
    <row r="551" spans="14:74" ht="14.25">
      <c r="N551" s="84"/>
      <c r="O551" s="84"/>
      <c r="P551" s="84"/>
      <c r="Q551" s="84"/>
      <c r="R551" s="84"/>
      <c r="S551" s="84"/>
      <c r="T551" s="84"/>
      <c r="U551" s="84"/>
      <c r="V551" s="84"/>
      <c r="W551" s="84"/>
      <c r="Y551" s="84"/>
      <c r="Z551" s="84"/>
      <c r="AA551" s="84"/>
      <c r="AB551" s="84"/>
      <c r="AC551" s="84"/>
      <c r="AD551" s="84"/>
      <c r="AE551" s="84"/>
      <c r="AF551" s="84"/>
      <c r="AG551" s="84"/>
      <c r="AH551" s="84"/>
      <c r="AI551" s="84"/>
      <c r="AL551" s="84"/>
      <c r="AM551" s="84"/>
      <c r="AN551" s="84"/>
      <c r="AO551" s="84"/>
      <c r="AP551" s="84"/>
      <c r="AQ551" s="84"/>
      <c r="AR551" s="84"/>
      <c r="AS551" s="84"/>
      <c r="AT551" s="84"/>
      <c r="AU551" s="84"/>
      <c r="AV551" s="84"/>
      <c r="AY551" s="84"/>
      <c r="AZ551" s="84"/>
      <c r="BA551" s="84"/>
      <c r="BB551" s="84"/>
      <c r="BC551" s="84"/>
      <c r="BD551" s="84"/>
      <c r="BE551" s="84"/>
      <c r="BF551" s="942"/>
      <c r="BG551" s="942"/>
      <c r="BH551" s="942"/>
      <c r="BI551" s="84"/>
      <c r="BL551" s="84"/>
      <c r="BM551" s="84"/>
      <c r="BN551" s="84"/>
      <c r="BO551" s="84"/>
      <c r="BP551" s="84"/>
      <c r="BQ551" s="84"/>
      <c r="BR551" s="84"/>
      <c r="BS551" s="942"/>
      <c r="BT551" s="942"/>
      <c r="BU551" s="942"/>
      <c r="BV551" s="84"/>
    </row>
    <row r="552" spans="14:74" ht="14.25">
      <c r="N552" s="84"/>
      <c r="O552" s="84"/>
      <c r="P552" s="84"/>
      <c r="Q552" s="84"/>
      <c r="R552" s="84"/>
      <c r="S552" s="84"/>
      <c r="T552" s="84"/>
      <c r="U552" s="84"/>
      <c r="V552" s="84"/>
      <c r="W552" s="84"/>
      <c r="Y552" s="84"/>
      <c r="Z552" s="84"/>
      <c r="AA552" s="84"/>
      <c r="AB552" s="84"/>
      <c r="AC552" s="84"/>
      <c r="AD552" s="84"/>
      <c r="AE552" s="84"/>
      <c r="AF552" s="84"/>
      <c r="AG552" s="84"/>
      <c r="AH552" s="84"/>
      <c r="AI552" s="84"/>
      <c r="AL552" s="84"/>
      <c r="AM552" s="84"/>
      <c r="AN552" s="84"/>
      <c r="AO552" s="84"/>
      <c r="AP552" s="84"/>
      <c r="AQ552" s="84"/>
      <c r="AR552" s="84"/>
      <c r="AS552" s="84"/>
      <c r="AT552" s="84"/>
      <c r="AU552" s="84"/>
      <c r="AV552" s="84"/>
      <c r="AY552" s="84"/>
      <c r="AZ552" s="84"/>
      <c r="BA552" s="84"/>
      <c r="BB552" s="84"/>
      <c r="BC552" s="84"/>
      <c r="BD552" s="84"/>
      <c r="BE552" s="84"/>
      <c r="BF552" s="942"/>
      <c r="BG552" s="942"/>
      <c r="BH552" s="942"/>
      <c r="BI552" s="84"/>
      <c r="BL552" s="84"/>
      <c r="BM552" s="84"/>
      <c r="BN552" s="84"/>
      <c r="BO552" s="84"/>
      <c r="BP552" s="84"/>
      <c r="BQ552" s="84"/>
      <c r="BR552" s="84"/>
      <c r="BS552" s="942"/>
      <c r="BT552" s="942"/>
      <c r="BU552" s="942"/>
      <c r="BV552" s="84"/>
    </row>
    <row r="553" spans="14:74" ht="14.25">
      <c r="N553" s="84"/>
      <c r="O553" s="84"/>
      <c r="P553" s="84"/>
      <c r="Q553" s="84"/>
      <c r="R553" s="84"/>
      <c r="S553" s="84"/>
      <c r="T553" s="84"/>
      <c r="U553" s="84"/>
      <c r="V553" s="84"/>
      <c r="W553" s="84"/>
      <c r="Y553" s="84"/>
      <c r="Z553" s="84"/>
      <c r="AA553" s="84"/>
      <c r="AB553" s="84"/>
      <c r="AC553" s="84"/>
      <c r="AD553" s="84"/>
      <c r="AE553" s="84"/>
      <c r="AF553" s="84"/>
      <c r="AG553" s="84"/>
      <c r="AH553" s="84"/>
      <c r="AI553" s="84"/>
      <c r="AL553" s="84"/>
      <c r="AM553" s="84"/>
      <c r="AN553" s="84"/>
      <c r="AO553" s="84"/>
      <c r="AP553" s="84"/>
      <c r="AQ553" s="84"/>
      <c r="AR553" s="84"/>
      <c r="AS553" s="84"/>
      <c r="AT553" s="84"/>
      <c r="AU553" s="84"/>
      <c r="AV553" s="84"/>
      <c r="AY553" s="84"/>
      <c r="AZ553" s="84"/>
      <c r="BA553" s="84"/>
      <c r="BB553" s="84"/>
      <c r="BC553" s="84"/>
      <c r="BD553" s="84"/>
      <c r="BE553" s="84"/>
      <c r="BF553" s="942"/>
      <c r="BG553" s="942"/>
      <c r="BH553" s="942"/>
      <c r="BI553" s="84"/>
      <c r="BL553" s="84"/>
      <c r="BM553" s="84"/>
      <c r="BN553" s="84"/>
      <c r="BO553" s="84"/>
      <c r="BP553" s="84"/>
      <c r="BQ553" s="84"/>
      <c r="BR553" s="84"/>
      <c r="BS553" s="942"/>
      <c r="BT553" s="942"/>
      <c r="BU553" s="942"/>
      <c r="BV553" s="84"/>
    </row>
    <row r="554" spans="14:74" ht="14.25">
      <c r="N554" s="84"/>
      <c r="O554" s="84"/>
      <c r="P554" s="84"/>
      <c r="Q554" s="84"/>
      <c r="R554" s="84"/>
      <c r="S554" s="84"/>
      <c r="T554" s="84"/>
      <c r="U554" s="84"/>
      <c r="V554" s="84"/>
      <c r="W554" s="84"/>
      <c r="Y554" s="84"/>
      <c r="Z554" s="84"/>
      <c r="AA554" s="84"/>
      <c r="AB554" s="84"/>
      <c r="AC554" s="84"/>
      <c r="AD554" s="84"/>
      <c r="AE554" s="84"/>
      <c r="AF554" s="84"/>
      <c r="AG554" s="84"/>
      <c r="AH554" s="84"/>
      <c r="AI554" s="84"/>
      <c r="AL554" s="84"/>
      <c r="AM554" s="84"/>
      <c r="AN554" s="84"/>
      <c r="AO554" s="84"/>
      <c r="AP554" s="84"/>
      <c r="AQ554" s="84"/>
      <c r="AR554" s="84"/>
      <c r="AS554" s="84"/>
      <c r="AT554" s="84"/>
      <c r="AU554" s="84"/>
      <c r="AV554" s="84"/>
      <c r="AY554" s="84"/>
      <c r="AZ554" s="84"/>
      <c r="BA554" s="84"/>
      <c r="BB554" s="84"/>
      <c r="BC554" s="84"/>
      <c r="BD554" s="84"/>
      <c r="BE554" s="84"/>
      <c r="BF554" s="942"/>
      <c r="BG554" s="942"/>
      <c r="BH554" s="942"/>
      <c r="BI554" s="84"/>
      <c r="BL554" s="84"/>
      <c r="BM554" s="84"/>
      <c r="BN554" s="84"/>
      <c r="BO554" s="84"/>
      <c r="BP554" s="84"/>
      <c r="BQ554" s="84"/>
      <c r="BR554" s="84"/>
      <c r="BS554" s="942"/>
      <c r="BT554" s="942"/>
      <c r="BU554" s="942"/>
      <c r="BV554" s="84"/>
    </row>
    <row r="555" spans="14:74" ht="14.25">
      <c r="N555" s="84"/>
      <c r="O555" s="84"/>
      <c r="P555" s="84"/>
      <c r="Q555" s="84"/>
      <c r="R555" s="84"/>
      <c r="S555" s="84"/>
      <c r="T555" s="84"/>
      <c r="U555" s="84"/>
      <c r="V555" s="84"/>
      <c r="W555" s="84"/>
      <c r="Y555" s="84"/>
      <c r="Z555" s="84"/>
      <c r="AA555" s="84"/>
      <c r="AB555" s="84"/>
      <c r="AC555" s="84"/>
      <c r="AD555" s="84"/>
      <c r="AE555" s="84"/>
      <c r="AF555" s="84"/>
      <c r="AG555" s="84"/>
      <c r="AH555" s="84"/>
      <c r="AI555" s="84"/>
      <c r="AL555" s="84"/>
      <c r="AM555" s="84"/>
      <c r="AN555" s="84"/>
      <c r="AO555" s="84"/>
      <c r="AP555" s="84"/>
      <c r="AQ555" s="84"/>
      <c r="AR555" s="84"/>
      <c r="AS555" s="84"/>
      <c r="AT555" s="84"/>
      <c r="AU555" s="84"/>
      <c r="AV555" s="84"/>
      <c r="AY555" s="84"/>
      <c r="AZ555" s="84"/>
      <c r="BA555" s="84"/>
      <c r="BB555" s="84"/>
      <c r="BC555" s="84"/>
      <c r="BD555" s="84"/>
      <c r="BE555" s="84"/>
      <c r="BF555" s="942"/>
      <c r="BG555" s="942"/>
      <c r="BH555" s="942"/>
      <c r="BI555" s="84"/>
      <c r="BL555" s="84"/>
      <c r="BM555" s="84"/>
      <c r="BN555" s="84"/>
      <c r="BO555" s="84"/>
      <c r="BP555" s="84"/>
      <c r="BQ555" s="84"/>
      <c r="BR555" s="84"/>
      <c r="BS555" s="942"/>
      <c r="BT555" s="942"/>
      <c r="BU555" s="942"/>
      <c r="BV555" s="84"/>
    </row>
    <row r="556" spans="14:74" ht="14.25">
      <c r="N556" s="84"/>
      <c r="O556" s="84"/>
      <c r="P556" s="84"/>
      <c r="Q556" s="84"/>
      <c r="R556" s="84"/>
      <c r="S556" s="84"/>
      <c r="T556" s="84"/>
      <c r="U556" s="84"/>
      <c r="V556" s="84"/>
      <c r="W556" s="84"/>
      <c r="Y556" s="84"/>
      <c r="Z556" s="84"/>
      <c r="AA556" s="84"/>
      <c r="AB556" s="84"/>
      <c r="AC556" s="84"/>
      <c r="AD556" s="84"/>
      <c r="AE556" s="84"/>
      <c r="AF556" s="84"/>
      <c r="AG556" s="84"/>
      <c r="AH556" s="84"/>
      <c r="AI556" s="84"/>
      <c r="AL556" s="84"/>
      <c r="AM556" s="84"/>
      <c r="AN556" s="84"/>
      <c r="AO556" s="84"/>
      <c r="AP556" s="84"/>
      <c r="AQ556" s="84"/>
      <c r="AR556" s="84"/>
      <c r="AS556" s="84"/>
      <c r="AT556" s="84"/>
      <c r="AU556" s="84"/>
      <c r="AV556" s="84"/>
      <c r="AY556" s="84"/>
      <c r="AZ556" s="84"/>
      <c r="BA556" s="84"/>
      <c r="BB556" s="84"/>
      <c r="BC556" s="84"/>
      <c r="BD556" s="84"/>
      <c r="BE556" s="84"/>
      <c r="BF556" s="942"/>
      <c r="BG556" s="942"/>
      <c r="BH556" s="942"/>
      <c r="BI556" s="84"/>
      <c r="BL556" s="84"/>
      <c r="BM556" s="84"/>
      <c r="BN556" s="84"/>
      <c r="BO556" s="84"/>
      <c r="BP556" s="84"/>
      <c r="BQ556" s="84"/>
      <c r="BR556" s="84"/>
      <c r="BS556" s="942"/>
      <c r="BT556" s="942"/>
      <c r="BU556" s="942"/>
      <c r="BV556" s="84"/>
    </row>
    <row r="557" spans="14:74" ht="14.25">
      <c r="N557" s="84"/>
      <c r="O557" s="84"/>
      <c r="P557" s="84"/>
      <c r="Q557" s="84"/>
      <c r="R557" s="84"/>
      <c r="S557" s="84"/>
      <c r="T557" s="84"/>
      <c r="U557" s="84"/>
      <c r="V557" s="84"/>
      <c r="W557" s="84"/>
      <c r="Y557" s="84"/>
      <c r="Z557" s="84"/>
      <c r="AA557" s="84"/>
      <c r="AB557" s="84"/>
      <c r="AC557" s="84"/>
      <c r="AD557" s="84"/>
      <c r="AE557" s="84"/>
      <c r="AF557" s="84"/>
      <c r="AG557" s="84"/>
      <c r="AH557" s="84"/>
      <c r="AI557" s="84"/>
      <c r="AL557" s="84"/>
      <c r="AM557" s="84"/>
      <c r="AN557" s="84"/>
      <c r="AO557" s="84"/>
      <c r="AP557" s="84"/>
      <c r="AQ557" s="84"/>
      <c r="AR557" s="84"/>
      <c r="AS557" s="84"/>
      <c r="AT557" s="84"/>
      <c r="AU557" s="84"/>
      <c r="AV557" s="84"/>
      <c r="AY557" s="84"/>
      <c r="AZ557" s="84"/>
      <c r="BA557" s="84"/>
      <c r="BB557" s="84"/>
      <c r="BC557" s="84"/>
      <c r="BD557" s="84"/>
      <c r="BE557" s="84"/>
      <c r="BF557" s="942"/>
      <c r="BG557" s="942"/>
      <c r="BH557" s="942"/>
      <c r="BI557" s="84"/>
      <c r="BL557" s="84"/>
      <c r="BM557" s="84"/>
      <c r="BN557" s="84"/>
      <c r="BO557" s="84"/>
      <c r="BP557" s="84"/>
      <c r="BQ557" s="84"/>
      <c r="BR557" s="84"/>
      <c r="BS557" s="942"/>
      <c r="BT557" s="942"/>
      <c r="BU557" s="942"/>
      <c r="BV557" s="84"/>
    </row>
    <row r="558" spans="14:74" ht="14.25">
      <c r="N558" s="84"/>
      <c r="O558" s="84"/>
      <c r="P558" s="84"/>
      <c r="Q558" s="84"/>
      <c r="R558" s="84"/>
      <c r="S558" s="84"/>
      <c r="T558" s="84"/>
      <c r="U558" s="84"/>
      <c r="V558" s="84"/>
      <c r="W558" s="84"/>
      <c r="Y558" s="84"/>
      <c r="Z558" s="84"/>
      <c r="AA558" s="84"/>
      <c r="AB558" s="84"/>
      <c r="AC558" s="84"/>
      <c r="AD558" s="84"/>
      <c r="AE558" s="84"/>
      <c r="AF558" s="84"/>
      <c r="AG558" s="84"/>
      <c r="AH558" s="84"/>
      <c r="AI558" s="84"/>
      <c r="AL558" s="84"/>
      <c r="AM558" s="84"/>
      <c r="AN558" s="84"/>
      <c r="AO558" s="84"/>
      <c r="AP558" s="84"/>
      <c r="AQ558" s="84"/>
      <c r="AR558" s="84"/>
      <c r="AS558" s="84"/>
      <c r="AT558" s="84"/>
      <c r="AU558" s="84"/>
      <c r="AV558" s="84"/>
      <c r="AY558" s="84"/>
      <c r="AZ558" s="84"/>
      <c r="BA558" s="84"/>
      <c r="BB558" s="84"/>
      <c r="BC558" s="84"/>
      <c r="BD558" s="84"/>
      <c r="BE558" s="84"/>
      <c r="BF558" s="942"/>
      <c r="BG558" s="942"/>
      <c r="BH558" s="942"/>
      <c r="BI558" s="84"/>
      <c r="BL558" s="84"/>
      <c r="BM558" s="84"/>
      <c r="BN558" s="84"/>
      <c r="BO558" s="84"/>
      <c r="BP558" s="84"/>
      <c r="BQ558" s="84"/>
      <c r="BR558" s="84"/>
      <c r="BS558" s="942"/>
      <c r="BT558" s="942"/>
      <c r="BU558" s="942"/>
      <c r="BV558" s="84"/>
    </row>
    <row r="559" spans="14:74" ht="14.25">
      <c r="N559" s="84"/>
      <c r="O559" s="84"/>
      <c r="P559" s="84"/>
      <c r="Q559" s="84"/>
      <c r="R559" s="84"/>
      <c r="S559" s="84"/>
      <c r="T559" s="84"/>
      <c r="U559" s="84"/>
      <c r="V559" s="84"/>
      <c r="W559" s="84"/>
      <c r="Y559" s="84"/>
      <c r="Z559" s="84"/>
      <c r="AA559" s="84"/>
      <c r="AB559" s="84"/>
      <c r="AC559" s="84"/>
      <c r="AD559" s="84"/>
      <c r="AE559" s="84"/>
      <c r="AF559" s="84"/>
      <c r="AG559" s="84"/>
      <c r="AH559" s="84"/>
      <c r="AI559" s="84"/>
      <c r="AL559" s="84"/>
      <c r="AM559" s="84"/>
      <c r="AN559" s="84"/>
      <c r="AO559" s="84"/>
      <c r="AP559" s="84"/>
      <c r="AQ559" s="84"/>
      <c r="AR559" s="84"/>
      <c r="AS559" s="84"/>
      <c r="AT559" s="84"/>
      <c r="AU559" s="84"/>
      <c r="AV559" s="84"/>
      <c r="AY559" s="84"/>
      <c r="AZ559" s="84"/>
      <c r="BA559" s="84"/>
      <c r="BB559" s="84"/>
      <c r="BC559" s="84"/>
      <c r="BD559" s="84"/>
      <c r="BE559" s="84"/>
      <c r="BF559" s="942"/>
      <c r="BG559" s="942"/>
      <c r="BH559" s="942"/>
      <c r="BI559" s="84"/>
      <c r="BL559" s="84"/>
      <c r="BM559" s="84"/>
      <c r="BN559" s="84"/>
      <c r="BO559" s="84"/>
      <c r="BP559" s="84"/>
      <c r="BQ559" s="84"/>
      <c r="BR559" s="84"/>
      <c r="BS559" s="942"/>
      <c r="BT559" s="942"/>
      <c r="BU559" s="942"/>
      <c r="BV559" s="84"/>
    </row>
    <row r="560" spans="14:74" ht="14.25">
      <c r="N560" s="84"/>
      <c r="O560" s="84"/>
      <c r="P560" s="84"/>
      <c r="Q560" s="84"/>
      <c r="R560" s="84"/>
      <c r="S560" s="84"/>
      <c r="T560" s="84"/>
      <c r="U560" s="84"/>
      <c r="V560" s="84"/>
      <c r="W560" s="84"/>
      <c r="Y560" s="84"/>
      <c r="Z560" s="84"/>
      <c r="AA560" s="84"/>
      <c r="AB560" s="84"/>
      <c r="AC560" s="84"/>
      <c r="AD560" s="84"/>
      <c r="AE560" s="84"/>
      <c r="AF560" s="84"/>
      <c r="AG560" s="84"/>
      <c r="AH560" s="84"/>
      <c r="AI560" s="84"/>
      <c r="AL560" s="84"/>
      <c r="AM560" s="84"/>
      <c r="AN560" s="84"/>
      <c r="AO560" s="84"/>
      <c r="AP560" s="84"/>
      <c r="AQ560" s="84"/>
      <c r="AR560" s="84"/>
      <c r="AS560" s="84"/>
      <c r="AT560" s="84"/>
      <c r="AU560" s="84"/>
      <c r="AV560" s="84"/>
      <c r="AY560" s="84"/>
      <c r="AZ560" s="84"/>
      <c r="BA560" s="84"/>
      <c r="BB560" s="84"/>
      <c r="BC560" s="84"/>
      <c r="BD560" s="84"/>
      <c r="BE560" s="84"/>
      <c r="BF560" s="942"/>
      <c r="BG560" s="942"/>
      <c r="BH560" s="942"/>
      <c r="BI560" s="84"/>
      <c r="BL560" s="84"/>
      <c r="BM560" s="84"/>
      <c r="BN560" s="84"/>
      <c r="BO560" s="84"/>
      <c r="BP560" s="84"/>
      <c r="BQ560" s="84"/>
      <c r="BR560" s="84"/>
      <c r="BS560" s="942"/>
      <c r="BT560" s="942"/>
      <c r="BU560" s="942"/>
      <c r="BV560" s="84"/>
    </row>
    <row r="561" spans="14:74" ht="14.25">
      <c r="N561" s="84"/>
      <c r="O561" s="84"/>
      <c r="P561" s="84"/>
      <c r="Q561" s="84"/>
      <c r="R561" s="84"/>
      <c r="S561" s="84"/>
      <c r="T561" s="84"/>
      <c r="U561" s="84"/>
      <c r="V561" s="84"/>
      <c r="W561" s="84"/>
      <c r="Y561" s="84"/>
      <c r="Z561" s="84"/>
      <c r="AA561" s="84"/>
      <c r="AB561" s="84"/>
      <c r="AC561" s="84"/>
      <c r="AD561" s="84"/>
      <c r="AE561" s="84"/>
      <c r="AF561" s="84"/>
      <c r="AG561" s="84"/>
      <c r="AH561" s="84"/>
      <c r="AI561" s="84"/>
      <c r="AL561" s="84"/>
      <c r="AM561" s="84"/>
      <c r="AN561" s="84"/>
      <c r="AO561" s="84"/>
      <c r="AP561" s="84"/>
      <c r="AQ561" s="84"/>
      <c r="AR561" s="84"/>
      <c r="AS561" s="84"/>
      <c r="AT561" s="84"/>
      <c r="AU561" s="84"/>
      <c r="AV561" s="84"/>
      <c r="AY561" s="84"/>
      <c r="AZ561" s="84"/>
      <c r="BA561" s="84"/>
      <c r="BB561" s="84"/>
      <c r="BC561" s="84"/>
      <c r="BD561" s="84"/>
      <c r="BE561" s="84"/>
      <c r="BF561" s="942"/>
      <c r="BG561" s="942"/>
      <c r="BH561" s="942"/>
      <c r="BI561" s="84"/>
      <c r="BL561" s="84"/>
      <c r="BM561" s="84"/>
      <c r="BN561" s="84"/>
      <c r="BO561" s="84"/>
      <c r="BP561" s="84"/>
      <c r="BQ561" s="84"/>
      <c r="BR561" s="84"/>
      <c r="BS561" s="942"/>
      <c r="BT561" s="942"/>
      <c r="BU561" s="942"/>
      <c r="BV561" s="84"/>
    </row>
    <row r="562" spans="14:74" ht="14.25">
      <c r="N562" s="84"/>
      <c r="O562" s="84"/>
      <c r="P562" s="84"/>
      <c r="Q562" s="84"/>
      <c r="R562" s="84"/>
      <c r="S562" s="84"/>
      <c r="T562" s="84"/>
      <c r="U562" s="84"/>
      <c r="V562" s="84"/>
      <c r="W562" s="84"/>
      <c r="Y562" s="84"/>
      <c r="Z562" s="84"/>
      <c r="AA562" s="84"/>
      <c r="AB562" s="84"/>
      <c r="AC562" s="84"/>
      <c r="AD562" s="84"/>
      <c r="AE562" s="84"/>
      <c r="AF562" s="84"/>
      <c r="AG562" s="84"/>
      <c r="AH562" s="84"/>
      <c r="AI562" s="84"/>
      <c r="AL562" s="84"/>
      <c r="AM562" s="84"/>
      <c r="AN562" s="84"/>
      <c r="AO562" s="84"/>
      <c r="AP562" s="84"/>
      <c r="AQ562" s="84"/>
      <c r="AR562" s="84"/>
      <c r="AS562" s="84"/>
      <c r="AT562" s="84"/>
      <c r="AU562" s="84"/>
      <c r="AV562" s="84"/>
      <c r="AY562" s="84"/>
      <c r="AZ562" s="84"/>
      <c r="BA562" s="84"/>
      <c r="BB562" s="84"/>
      <c r="BC562" s="84"/>
      <c r="BD562" s="84"/>
      <c r="BE562" s="84"/>
      <c r="BF562" s="942"/>
      <c r="BG562" s="942"/>
      <c r="BH562" s="942"/>
      <c r="BI562" s="84"/>
      <c r="BL562" s="84"/>
      <c r="BM562" s="84"/>
      <c r="BN562" s="84"/>
      <c r="BO562" s="84"/>
      <c r="BP562" s="84"/>
      <c r="BQ562" s="84"/>
      <c r="BR562" s="84"/>
      <c r="BS562" s="942"/>
      <c r="BT562" s="942"/>
      <c r="BU562" s="942"/>
      <c r="BV562" s="84"/>
    </row>
    <row r="563" spans="14:74" ht="14.25">
      <c r="N563" s="84"/>
      <c r="O563" s="84"/>
      <c r="P563" s="84"/>
      <c r="Q563" s="84"/>
      <c r="R563" s="84"/>
      <c r="S563" s="84"/>
      <c r="T563" s="84"/>
      <c r="U563" s="84"/>
      <c r="V563" s="84"/>
      <c r="W563" s="84"/>
      <c r="Y563" s="84"/>
      <c r="Z563" s="84"/>
      <c r="AA563" s="84"/>
      <c r="AB563" s="84"/>
      <c r="AC563" s="84"/>
      <c r="AD563" s="84"/>
      <c r="AE563" s="84"/>
      <c r="AF563" s="84"/>
      <c r="AG563" s="84"/>
      <c r="AH563" s="84"/>
      <c r="AI563" s="84"/>
      <c r="AL563" s="84"/>
      <c r="AM563" s="84"/>
      <c r="AN563" s="84"/>
      <c r="AO563" s="84"/>
      <c r="AP563" s="84"/>
      <c r="AQ563" s="84"/>
      <c r="AR563" s="84"/>
      <c r="AS563" s="84"/>
      <c r="AT563" s="84"/>
      <c r="AU563" s="84"/>
      <c r="AV563" s="84"/>
      <c r="AY563" s="84"/>
      <c r="AZ563" s="84"/>
      <c r="BA563" s="84"/>
      <c r="BB563" s="84"/>
      <c r="BC563" s="84"/>
      <c r="BD563" s="84"/>
      <c r="BE563" s="84"/>
      <c r="BF563" s="942"/>
      <c r="BG563" s="942"/>
      <c r="BH563" s="942"/>
      <c r="BI563" s="84"/>
      <c r="BL563" s="84"/>
      <c r="BM563" s="84"/>
      <c r="BN563" s="84"/>
      <c r="BO563" s="84"/>
      <c r="BP563" s="84"/>
      <c r="BQ563" s="84"/>
      <c r="BR563" s="84"/>
      <c r="BS563" s="942"/>
      <c r="BT563" s="942"/>
      <c r="BU563" s="942"/>
      <c r="BV563" s="84"/>
    </row>
    <row r="564" spans="14:74" ht="14.25">
      <c r="N564" s="84"/>
      <c r="O564" s="84"/>
      <c r="P564" s="84"/>
      <c r="Q564" s="84"/>
      <c r="R564" s="84"/>
      <c r="S564" s="84"/>
      <c r="T564" s="84"/>
      <c r="U564" s="84"/>
      <c r="V564" s="84"/>
      <c r="W564" s="84"/>
      <c r="Y564" s="84"/>
      <c r="Z564" s="84"/>
      <c r="AA564" s="84"/>
      <c r="AB564" s="84"/>
      <c r="AC564" s="84"/>
      <c r="AD564" s="84"/>
      <c r="AE564" s="84"/>
      <c r="AF564" s="84"/>
      <c r="AG564" s="84"/>
      <c r="AH564" s="84"/>
      <c r="AI564" s="84"/>
      <c r="AL564" s="84"/>
      <c r="AM564" s="84"/>
      <c r="AN564" s="84"/>
      <c r="AO564" s="84"/>
      <c r="AP564" s="84"/>
      <c r="AQ564" s="84"/>
      <c r="AR564" s="84"/>
      <c r="AS564" s="84"/>
      <c r="AT564" s="84"/>
      <c r="AU564" s="84"/>
      <c r="AV564" s="84"/>
      <c r="AY564" s="84"/>
      <c r="AZ564" s="84"/>
      <c r="BA564" s="84"/>
      <c r="BB564" s="84"/>
      <c r="BC564" s="84"/>
      <c r="BD564" s="84"/>
      <c r="BE564" s="84"/>
      <c r="BF564" s="942"/>
      <c r="BG564" s="942"/>
      <c r="BH564" s="942"/>
      <c r="BI564" s="84"/>
      <c r="BL564" s="84"/>
      <c r="BM564" s="84"/>
      <c r="BN564" s="84"/>
      <c r="BO564" s="84"/>
      <c r="BP564" s="84"/>
      <c r="BQ564" s="84"/>
      <c r="BR564" s="84"/>
      <c r="BS564" s="942"/>
      <c r="BT564" s="942"/>
      <c r="BU564" s="942"/>
      <c r="BV564" s="84"/>
    </row>
    <row r="565" spans="14:74" ht="14.25">
      <c r="N565" s="84"/>
      <c r="O565" s="84"/>
      <c r="P565" s="84"/>
      <c r="Q565" s="84"/>
      <c r="R565" s="84"/>
      <c r="S565" s="84"/>
      <c r="T565" s="84"/>
      <c r="U565" s="84"/>
      <c r="V565" s="84"/>
      <c r="W565" s="84"/>
      <c r="Y565" s="84"/>
      <c r="Z565" s="84"/>
      <c r="AA565" s="84"/>
      <c r="AB565" s="84"/>
      <c r="AC565" s="84"/>
      <c r="AD565" s="84"/>
      <c r="AE565" s="84"/>
      <c r="AF565" s="84"/>
      <c r="AG565" s="84"/>
      <c r="AH565" s="84"/>
      <c r="AI565" s="84"/>
      <c r="AL565" s="84"/>
      <c r="AM565" s="84"/>
      <c r="AN565" s="84"/>
      <c r="AO565" s="84"/>
      <c r="AP565" s="84"/>
      <c r="AQ565" s="84"/>
      <c r="AR565" s="84"/>
      <c r="AS565" s="84"/>
      <c r="AT565" s="84"/>
      <c r="AU565" s="84"/>
      <c r="AV565" s="84"/>
      <c r="AY565" s="84"/>
      <c r="AZ565" s="84"/>
      <c r="BA565" s="84"/>
      <c r="BB565" s="84"/>
      <c r="BC565" s="84"/>
      <c r="BD565" s="84"/>
      <c r="BE565" s="84"/>
      <c r="BF565" s="942"/>
      <c r="BG565" s="942"/>
      <c r="BH565" s="942"/>
      <c r="BI565" s="84"/>
      <c r="BL565" s="84"/>
      <c r="BM565" s="84"/>
      <c r="BN565" s="84"/>
      <c r="BO565" s="84"/>
      <c r="BP565" s="84"/>
      <c r="BQ565" s="84"/>
      <c r="BR565" s="84"/>
      <c r="BS565" s="942"/>
      <c r="BT565" s="942"/>
      <c r="BU565" s="942"/>
      <c r="BV565" s="84"/>
    </row>
    <row r="566" spans="14:74" ht="14.25">
      <c r="N566" s="84"/>
      <c r="O566" s="84"/>
      <c r="P566" s="84"/>
      <c r="Q566" s="84"/>
      <c r="R566" s="84"/>
      <c r="S566" s="84"/>
      <c r="T566" s="84"/>
      <c r="U566" s="84"/>
      <c r="V566" s="84"/>
      <c r="W566" s="84"/>
      <c r="Y566" s="84"/>
      <c r="Z566" s="84"/>
      <c r="AA566" s="84"/>
      <c r="AB566" s="84"/>
      <c r="AC566" s="84"/>
      <c r="AD566" s="84"/>
      <c r="AE566" s="84"/>
      <c r="AF566" s="84"/>
      <c r="AG566" s="84"/>
      <c r="AH566" s="84"/>
      <c r="AI566" s="84"/>
      <c r="AL566" s="84"/>
      <c r="AM566" s="84"/>
      <c r="AN566" s="84"/>
      <c r="AO566" s="84"/>
      <c r="AP566" s="84"/>
      <c r="AQ566" s="84"/>
      <c r="AR566" s="84"/>
      <c r="AS566" s="84"/>
      <c r="AT566" s="84"/>
      <c r="AU566" s="84"/>
      <c r="AV566" s="84"/>
      <c r="AY566" s="84"/>
      <c r="AZ566" s="84"/>
      <c r="BA566" s="84"/>
      <c r="BB566" s="84"/>
      <c r="BC566" s="84"/>
      <c r="BD566" s="84"/>
      <c r="BE566" s="84"/>
      <c r="BF566" s="942"/>
      <c r="BG566" s="942"/>
      <c r="BH566" s="942"/>
      <c r="BI566" s="84"/>
      <c r="BL566" s="84"/>
      <c r="BM566" s="84"/>
      <c r="BN566" s="84"/>
      <c r="BO566" s="84"/>
      <c r="BP566" s="84"/>
      <c r="BQ566" s="84"/>
      <c r="BR566" s="84"/>
      <c r="BS566" s="942"/>
      <c r="BT566" s="942"/>
      <c r="BU566" s="942"/>
      <c r="BV566" s="84"/>
    </row>
    <row r="567" spans="14:74" ht="14.25">
      <c r="N567" s="84"/>
      <c r="O567" s="84"/>
      <c r="P567" s="84"/>
      <c r="Q567" s="84"/>
      <c r="R567" s="84"/>
      <c r="S567" s="84"/>
      <c r="T567" s="84"/>
      <c r="U567" s="84"/>
      <c r="V567" s="84"/>
      <c r="W567" s="84"/>
      <c r="Y567" s="84"/>
      <c r="Z567" s="84"/>
      <c r="AA567" s="84"/>
      <c r="AB567" s="84"/>
      <c r="AC567" s="84"/>
      <c r="AD567" s="84"/>
      <c r="AE567" s="84"/>
      <c r="AF567" s="84"/>
      <c r="AG567" s="84"/>
      <c r="AH567" s="84"/>
      <c r="AI567" s="84"/>
      <c r="AL567" s="84"/>
      <c r="AM567" s="84"/>
      <c r="AN567" s="84"/>
      <c r="AO567" s="84"/>
      <c r="AP567" s="84"/>
      <c r="AQ567" s="84"/>
      <c r="AR567" s="84"/>
      <c r="AS567" s="84"/>
      <c r="AT567" s="84"/>
      <c r="AU567" s="84"/>
      <c r="AV567" s="84"/>
      <c r="AY567" s="84"/>
      <c r="AZ567" s="84"/>
      <c r="BA567" s="84"/>
      <c r="BB567" s="84"/>
      <c r="BC567" s="84"/>
      <c r="BD567" s="84"/>
      <c r="BE567" s="84"/>
      <c r="BF567" s="942"/>
      <c r="BG567" s="942"/>
      <c r="BH567" s="942"/>
      <c r="BI567" s="84"/>
      <c r="BL567" s="84"/>
      <c r="BM567" s="84"/>
      <c r="BN567" s="84"/>
      <c r="BO567" s="84"/>
      <c r="BP567" s="84"/>
      <c r="BQ567" s="84"/>
      <c r="BR567" s="84"/>
      <c r="BS567" s="942"/>
      <c r="BT567" s="942"/>
      <c r="BU567" s="942"/>
      <c r="BV567" s="84"/>
    </row>
    <row r="568" spans="14:74" ht="14.25">
      <c r="N568" s="84"/>
      <c r="O568" s="84"/>
      <c r="P568" s="84"/>
      <c r="Q568" s="84"/>
      <c r="R568" s="84"/>
      <c r="S568" s="84"/>
      <c r="T568" s="84"/>
      <c r="U568" s="84"/>
      <c r="V568" s="84"/>
      <c r="W568" s="84"/>
      <c r="Y568" s="84"/>
      <c r="Z568" s="84"/>
      <c r="AA568" s="84"/>
      <c r="AB568" s="84"/>
      <c r="AC568" s="84"/>
      <c r="AD568" s="84"/>
      <c r="AE568" s="84"/>
      <c r="AF568" s="84"/>
      <c r="AG568" s="84"/>
      <c r="AH568" s="84"/>
      <c r="AI568" s="84"/>
      <c r="AL568" s="84"/>
      <c r="AM568" s="84"/>
      <c r="AN568" s="84"/>
      <c r="AO568" s="84"/>
      <c r="AP568" s="84"/>
      <c r="AQ568" s="84"/>
      <c r="AR568" s="84"/>
      <c r="AS568" s="84"/>
      <c r="AT568" s="84"/>
      <c r="AU568" s="84"/>
      <c r="AV568" s="84"/>
      <c r="AY568" s="84"/>
      <c r="AZ568" s="84"/>
      <c r="BA568" s="84"/>
      <c r="BB568" s="84"/>
      <c r="BC568" s="84"/>
      <c r="BD568" s="84"/>
      <c r="BE568" s="84"/>
      <c r="BF568" s="942"/>
      <c r="BG568" s="942"/>
      <c r="BH568" s="942"/>
      <c r="BI568" s="84"/>
      <c r="BL568" s="84"/>
      <c r="BM568" s="84"/>
      <c r="BN568" s="84"/>
      <c r="BO568" s="84"/>
      <c r="BP568" s="84"/>
      <c r="BQ568" s="84"/>
      <c r="BR568" s="84"/>
      <c r="BS568" s="942"/>
      <c r="BT568" s="942"/>
      <c r="BU568" s="942"/>
      <c r="BV568" s="84"/>
    </row>
    <row r="569" spans="14:74" ht="14.25">
      <c r="N569" s="84"/>
      <c r="O569" s="84"/>
      <c r="P569" s="84"/>
      <c r="Q569" s="84"/>
      <c r="R569" s="84"/>
      <c r="S569" s="84"/>
      <c r="T569" s="84"/>
      <c r="U569" s="84"/>
      <c r="V569" s="84"/>
      <c r="W569" s="84"/>
      <c r="Y569" s="84"/>
      <c r="Z569" s="84"/>
      <c r="AA569" s="84"/>
      <c r="AB569" s="84"/>
      <c r="AC569" s="84"/>
      <c r="AD569" s="84"/>
      <c r="AE569" s="84"/>
      <c r="AF569" s="84"/>
      <c r="AG569" s="84"/>
      <c r="AH569" s="84"/>
      <c r="AI569" s="84"/>
      <c r="AL569" s="84"/>
      <c r="AM569" s="84"/>
      <c r="AN569" s="84"/>
      <c r="AO569" s="84"/>
      <c r="AP569" s="84"/>
      <c r="AQ569" s="84"/>
      <c r="AR569" s="84"/>
      <c r="AS569" s="84"/>
      <c r="AT569" s="84"/>
      <c r="AU569" s="84"/>
      <c r="AV569" s="84"/>
      <c r="AY569" s="84"/>
      <c r="AZ569" s="84"/>
      <c r="BA569" s="84"/>
      <c r="BB569" s="84"/>
      <c r="BC569" s="84"/>
      <c r="BD569" s="84"/>
      <c r="BE569" s="84"/>
      <c r="BF569" s="942"/>
      <c r="BG569" s="942"/>
      <c r="BH569" s="942"/>
      <c r="BI569" s="84"/>
      <c r="BL569" s="84"/>
      <c r="BM569" s="84"/>
      <c r="BN569" s="84"/>
      <c r="BO569" s="84"/>
      <c r="BP569" s="84"/>
      <c r="BQ569" s="84"/>
      <c r="BR569" s="84"/>
      <c r="BS569" s="942"/>
      <c r="BT569" s="942"/>
      <c r="BU569" s="942"/>
      <c r="BV569" s="84"/>
    </row>
    <row r="570" spans="14:74" ht="14.25">
      <c r="N570" s="84"/>
      <c r="O570" s="84"/>
      <c r="P570" s="84"/>
      <c r="Q570" s="84"/>
      <c r="R570" s="84"/>
      <c r="S570" s="84"/>
      <c r="T570" s="84"/>
      <c r="U570" s="84"/>
      <c r="V570" s="84"/>
      <c r="W570" s="84"/>
      <c r="Y570" s="84"/>
      <c r="Z570" s="84"/>
      <c r="AA570" s="84"/>
      <c r="AB570" s="84"/>
      <c r="AC570" s="84"/>
      <c r="AD570" s="84"/>
      <c r="AE570" s="84"/>
      <c r="AF570" s="84"/>
      <c r="AG570" s="84"/>
      <c r="AH570" s="84"/>
      <c r="AI570" s="84"/>
      <c r="AL570" s="84"/>
      <c r="AM570" s="84"/>
      <c r="AN570" s="84"/>
      <c r="AO570" s="84"/>
      <c r="AP570" s="84"/>
      <c r="AQ570" s="84"/>
      <c r="AR570" s="84"/>
      <c r="AS570" s="84"/>
      <c r="AT570" s="84"/>
      <c r="AU570" s="84"/>
      <c r="AV570" s="84"/>
      <c r="AY570" s="84"/>
      <c r="AZ570" s="84"/>
      <c r="BA570" s="84"/>
      <c r="BB570" s="84"/>
      <c r="BC570" s="84"/>
      <c r="BD570" s="84"/>
      <c r="BE570" s="84"/>
      <c r="BF570" s="942"/>
      <c r="BG570" s="942"/>
      <c r="BH570" s="942"/>
      <c r="BI570" s="84"/>
      <c r="BL570" s="84"/>
      <c r="BM570" s="84"/>
      <c r="BN570" s="84"/>
      <c r="BO570" s="84"/>
      <c r="BP570" s="84"/>
      <c r="BQ570" s="84"/>
      <c r="BR570" s="84"/>
      <c r="BS570" s="942"/>
      <c r="BT570" s="942"/>
      <c r="BU570" s="942"/>
      <c r="BV570" s="84"/>
    </row>
    <row r="571" spans="14:74" ht="14.25">
      <c r="N571" s="84"/>
      <c r="O571" s="84"/>
      <c r="P571" s="84"/>
      <c r="Q571" s="84"/>
      <c r="R571" s="84"/>
      <c r="S571" s="84"/>
      <c r="T571" s="84"/>
      <c r="U571" s="84"/>
      <c r="V571" s="84"/>
      <c r="W571" s="84"/>
      <c r="Y571" s="84"/>
      <c r="Z571" s="84"/>
      <c r="AA571" s="84"/>
      <c r="AB571" s="84"/>
      <c r="AC571" s="84"/>
      <c r="AD571" s="84"/>
      <c r="AE571" s="84"/>
      <c r="AF571" s="84"/>
      <c r="AG571" s="84"/>
      <c r="AH571" s="84"/>
      <c r="AI571" s="84"/>
      <c r="AL571" s="84"/>
      <c r="AM571" s="84"/>
      <c r="AN571" s="84"/>
      <c r="AO571" s="84"/>
      <c r="AP571" s="84"/>
      <c r="AQ571" s="84"/>
      <c r="AR571" s="84"/>
      <c r="AS571" s="84"/>
      <c r="AT571" s="84"/>
      <c r="AU571" s="84"/>
      <c r="AV571" s="84"/>
      <c r="AY571" s="84"/>
      <c r="AZ571" s="84"/>
      <c r="BA571" s="84"/>
      <c r="BB571" s="84"/>
      <c r="BC571" s="84"/>
      <c r="BD571" s="84"/>
      <c r="BE571" s="84"/>
      <c r="BF571" s="942"/>
      <c r="BG571" s="942"/>
      <c r="BH571" s="942"/>
      <c r="BI571" s="84"/>
      <c r="BL571" s="84"/>
      <c r="BM571" s="84"/>
      <c r="BN571" s="84"/>
      <c r="BO571" s="84"/>
      <c r="BP571" s="84"/>
      <c r="BQ571" s="84"/>
      <c r="BR571" s="84"/>
      <c r="BS571" s="942"/>
      <c r="BT571" s="942"/>
      <c r="BU571" s="942"/>
      <c r="BV571" s="84"/>
    </row>
    <row r="572" spans="14:74" ht="14.25">
      <c r="N572" s="84"/>
      <c r="O572" s="84"/>
      <c r="P572" s="84"/>
      <c r="Q572" s="84"/>
      <c r="R572" s="84"/>
      <c r="S572" s="84"/>
      <c r="T572" s="84"/>
      <c r="U572" s="84"/>
      <c r="V572" s="84"/>
      <c r="W572" s="84"/>
      <c r="Y572" s="84"/>
      <c r="Z572" s="84"/>
      <c r="AA572" s="84"/>
      <c r="AB572" s="84"/>
      <c r="AC572" s="84"/>
      <c r="AD572" s="84"/>
      <c r="AE572" s="84"/>
      <c r="AF572" s="84"/>
      <c r="AG572" s="84"/>
      <c r="AH572" s="84"/>
      <c r="AI572" s="84"/>
      <c r="AL572" s="84"/>
      <c r="AM572" s="84"/>
      <c r="AN572" s="84"/>
      <c r="AO572" s="84"/>
      <c r="AP572" s="84"/>
      <c r="AQ572" s="84"/>
      <c r="AR572" s="84"/>
      <c r="AS572" s="84"/>
      <c r="AT572" s="84"/>
      <c r="AU572" s="84"/>
      <c r="AV572" s="84"/>
      <c r="AY572" s="84"/>
      <c r="AZ572" s="84"/>
      <c r="BA572" s="84"/>
      <c r="BB572" s="84"/>
      <c r="BC572" s="84"/>
      <c r="BD572" s="84"/>
      <c r="BE572" s="84"/>
      <c r="BF572" s="942"/>
      <c r="BG572" s="942"/>
      <c r="BH572" s="942"/>
      <c r="BI572" s="84"/>
      <c r="BL572" s="84"/>
      <c r="BM572" s="84"/>
      <c r="BN572" s="84"/>
      <c r="BO572" s="84"/>
      <c r="BP572" s="84"/>
      <c r="BQ572" s="84"/>
      <c r="BR572" s="84"/>
      <c r="BS572" s="942"/>
      <c r="BT572" s="942"/>
      <c r="BU572" s="942"/>
      <c r="BV572" s="84"/>
    </row>
    <row r="573" spans="14:74" ht="14.25">
      <c r="N573" s="84"/>
      <c r="O573" s="84"/>
      <c r="P573" s="84"/>
      <c r="Q573" s="84"/>
      <c r="R573" s="84"/>
      <c r="S573" s="84"/>
      <c r="T573" s="84"/>
      <c r="U573" s="84"/>
      <c r="V573" s="84"/>
      <c r="W573" s="84"/>
      <c r="Y573" s="84"/>
      <c r="Z573" s="84"/>
      <c r="AA573" s="84"/>
      <c r="AB573" s="84"/>
      <c r="AC573" s="84"/>
      <c r="AD573" s="84"/>
      <c r="AE573" s="84"/>
      <c r="AF573" s="84"/>
      <c r="AG573" s="84"/>
      <c r="AH573" s="84"/>
      <c r="AI573" s="84"/>
      <c r="AL573" s="84"/>
      <c r="AM573" s="84"/>
      <c r="AN573" s="84"/>
      <c r="AO573" s="84"/>
      <c r="AP573" s="84"/>
      <c r="AQ573" s="84"/>
      <c r="AR573" s="84"/>
      <c r="AS573" s="84"/>
      <c r="AT573" s="84"/>
      <c r="AU573" s="84"/>
      <c r="AV573" s="84"/>
      <c r="AY573" s="84"/>
      <c r="AZ573" s="84"/>
      <c r="BA573" s="84"/>
      <c r="BB573" s="84"/>
      <c r="BC573" s="84"/>
      <c r="BD573" s="84"/>
      <c r="BE573" s="84"/>
      <c r="BF573" s="942"/>
      <c r="BG573" s="942"/>
      <c r="BH573" s="942"/>
      <c r="BI573" s="84"/>
      <c r="BL573" s="84"/>
      <c r="BM573" s="84"/>
      <c r="BN573" s="84"/>
      <c r="BO573" s="84"/>
      <c r="BP573" s="84"/>
      <c r="BQ573" s="84"/>
      <c r="BR573" s="84"/>
      <c r="BS573" s="942"/>
      <c r="BT573" s="942"/>
      <c r="BU573" s="942"/>
      <c r="BV573" s="84"/>
    </row>
    <row r="574" spans="14:74" ht="14.25">
      <c r="N574" s="84"/>
      <c r="O574" s="84"/>
      <c r="P574" s="84"/>
      <c r="Q574" s="84"/>
      <c r="R574" s="84"/>
      <c r="S574" s="84"/>
      <c r="T574" s="84"/>
      <c r="U574" s="84"/>
      <c r="V574" s="84"/>
      <c r="W574" s="84"/>
      <c r="Y574" s="84"/>
      <c r="Z574" s="84"/>
      <c r="AA574" s="84"/>
      <c r="AB574" s="84"/>
      <c r="AC574" s="84"/>
      <c r="AD574" s="84"/>
      <c r="AE574" s="84"/>
      <c r="AF574" s="84"/>
      <c r="AG574" s="84"/>
      <c r="AH574" s="84"/>
      <c r="AI574" s="84"/>
      <c r="AL574" s="84"/>
      <c r="AM574" s="84"/>
      <c r="AN574" s="84"/>
      <c r="AO574" s="84"/>
      <c r="AP574" s="84"/>
      <c r="AQ574" s="84"/>
      <c r="AR574" s="84"/>
      <c r="AS574" s="84"/>
      <c r="AT574" s="84"/>
      <c r="AU574" s="84"/>
      <c r="AV574" s="84"/>
      <c r="AY574" s="84"/>
      <c r="AZ574" s="84"/>
      <c r="BA574" s="84"/>
      <c r="BB574" s="84"/>
      <c r="BC574" s="84"/>
      <c r="BD574" s="84"/>
      <c r="BE574" s="84"/>
      <c r="BF574" s="942"/>
      <c r="BG574" s="942"/>
      <c r="BH574" s="942"/>
      <c r="BI574" s="84"/>
      <c r="BL574" s="84"/>
      <c r="BM574" s="84"/>
      <c r="BN574" s="84"/>
      <c r="BO574" s="84"/>
      <c r="BP574" s="84"/>
      <c r="BQ574" s="84"/>
      <c r="BR574" s="84"/>
      <c r="BS574" s="942"/>
      <c r="BT574" s="942"/>
      <c r="BU574" s="942"/>
      <c r="BV574" s="84"/>
    </row>
    <row r="575" spans="14:74" ht="14.25">
      <c r="N575" s="84"/>
      <c r="O575" s="84"/>
      <c r="P575" s="84"/>
      <c r="Q575" s="84"/>
      <c r="R575" s="84"/>
      <c r="S575" s="84"/>
      <c r="T575" s="84"/>
      <c r="U575" s="84"/>
      <c r="V575" s="84"/>
      <c r="W575" s="84"/>
      <c r="Y575" s="84"/>
      <c r="Z575" s="84"/>
      <c r="AA575" s="84"/>
      <c r="AB575" s="84"/>
      <c r="AC575" s="84"/>
      <c r="AD575" s="84"/>
      <c r="AE575" s="84"/>
      <c r="AF575" s="84"/>
      <c r="AG575" s="84"/>
      <c r="AH575" s="84"/>
      <c r="AI575" s="84"/>
      <c r="AL575" s="84"/>
      <c r="AM575" s="84"/>
      <c r="AN575" s="84"/>
      <c r="AO575" s="84"/>
      <c r="AP575" s="84"/>
      <c r="AQ575" s="84"/>
      <c r="AR575" s="84"/>
      <c r="AS575" s="84"/>
      <c r="AT575" s="84"/>
      <c r="AU575" s="84"/>
      <c r="AV575" s="84"/>
      <c r="AY575" s="84"/>
      <c r="AZ575" s="84"/>
      <c r="BA575" s="84"/>
      <c r="BB575" s="84"/>
      <c r="BC575" s="84"/>
      <c r="BD575" s="84"/>
      <c r="BE575" s="84"/>
      <c r="BF575" s="942"/>
      <c r="BG575" s="942"/>
      <c r="BH575" s="942"/>
      <c r="BI575" s="84"/>
      <c r="BL575" s="84"/>
      <c r="BM575" s="84"/>
      <c r="BN575" s="84"/>
      <c r="BO575" s="84"/>
      <c r="BP575" s="84"/>
      <c r="BQ575" s="84"/>
      <c r="BR575" s="84"/>
      <c r="BS575" s="942"/>
      <c r="BT575" s="942"/>
      <c r="BU575" s="942"/>
      <c r="BV575" s="84"/>
    </row>
    <row r="576" spans="14:74" ht="14.25">
      <c r="N576" s="84"/>
      <c r="O576" s="84"/>
      <c r="P576" s="84"/>
      <c r="Q576" s="84"/>
      <c r="R576" s="84"/>
      <c r="S576" s="84"/>
      <c r="T576" s="84"/>
      <c r="U576" s="84"/>
      <c r="V576" s="84"/>
      <c r="W576" s="84"/>
      <c r="Y576" s="84"/>
      <c r="Z576" s="84"/>
      <c r="AA576" s="84"/>
      <c r="AB576" s="84"/>
      <c r="AC576" s="84"/>
      <c r="AD576" s="84"/>
      <c r="AE576" s="84"/>
      <c r="AF576" s="84"/>
      <c r="AG576" s="84"/>
      <c r="AH576" s="84"/>
      <c r="AI576" s="84"/>
      <c r="AL576" s="84"/>
      <c r="AM576" s="84"/>
      <c r="AN576" s="84"/>
      <c r="AO576" s="84"/>
      <c r="AP576" s="84"/>
      <c r="AQ576" s="84"/>
      <c r="AR576" s="84"/>
      <c r="AS576" s="84"/>
      <c r="AT576" s="84"/>
      <c r="AU576" s="84"/>
      <c r="AV576" s="84"/>
      <c r="AY576" s="84"/>
      <c r="AZ576" s="84"/>
      <c r="BA576" s="84"/>
      <c r="BB576" s="84"/>
      <c r="BC576" s="84"/>
      <c r="BD576" s="84"/>
      <c r="BE576" s="84"/>
      <c r="BF576" s="942"/>
      <c r="BG576" s="942"/>
      <c r="BH576" s="942"/>
      <c r="BI576" s="84"/>
      <c r="BL576" s="84"/>
      <c r="BM576" s="84"/>
      <c r="BN576" s="84"/>
      <c r="BO576" s="84"/>
      <c r="BP576" s="84"/>
      <c r="BQ576" s="84"/>
      <c r="BR576" s="84"/>
      <c r="BS576" s="942"/>
      <c r="BT576" s="942"/>
      <c r="BU576" s="942"/>
      <c r="BV576" s="84"/>
    </row>
    <row r="577" spans="14:74" ht="14.25">
      <c r="N577" s="84"/>
      <c r="O577" s="84"/>
      <c r="P577" s="84"/>
      <c r="Q577" s="84"/>
      <c r="R577" s="84"/>
      <c r="S577" s="84"/>
      <c r="T577" s="84"/>
      <c r="U577" s="84"/>
      <c r="V577" s="84"/>
      <c r="W577" s="84"/>
      <c r="Y577" s="84"/>
      <c r="Z577" s="84"/>
      <c r="AA577" s="84"/>
      <c r="AB577" s="84"/>
      <c r="AC577" s="84"/>
      <c r="AD577" s="84"/>
      <c r="AE577" s="84"/>
      <c r="AF577" s="84"/>
      <c r="AG577" s="84"/>
      <c r="AH577" s="84"/>
      <c r="AI577" s="84"/>
      <c r="AL577" s="84"/>
      <c r="AM577" s="84"/>
      <c r="AN577" s="84"/>
      <c r="AO577" s="84"/>
      <c r="AP577" s="84"/>
      <c r="AQ577" s="84"/>
      <c r="AR577" s="84"/>
      <c r="AS577" s="84"/>
      <c r="AT577" s="84"/>
      <c r="AU577" s="84"/>
      <c r="AV577" s="84"/>
      <c r="AY577" s="84"/>
      <c r="AZ577" s="84"/>
      <c r="BA577" s="84"/>
      <c r="BB577" s="84"/>
      <c r="BC577" s="84"/>
      <c r="BD577" s="84"/>
      <c r="BE577" s="84"/>
      <c r="BF577" s="942"/>
      <c r="BG577" s="942"/>
      <c r="BH577" s="942"/>
      <c r="BI577" s="84"/>
      <c r="BL577" s="84"/>
      <c r="BM577" s="84"/>
      <c r="BN577" s="84"/>
      <c r="BO577" s="84"/>
      <c r="BP577" s="84"/>
      <c r="BQ577" s="84"/>
      <c r="BR577" s="84"/>
      <c r="BS577" s="942"/>
      <c r="BT577" s="942"/>
      <c r="BU577" s="942"/>
      <c r="BV577" s="84"/>
    </row>
    <row r="578" spans="14:74" ht="14.25">
      <c r="N578" s="84"/>
      <c r="O578" s="84"/>
      <c r="P578" s="84"/>
      <c r="Q578" s="84"/>
      <c r="R578" s="84"/>
      <c r="S578" s="84"/>
      <c r="T578" s="84"/>
      <c r="U578" s="84"/>
      <c r="V578" s="84"/>
      <c r="W578" s="84"/>
      <c r="Y578" s="84"/>
      <c r="Z578" s="84"/>
      <c r="AA578" s="84"/>
      <c r="AB578" s="84"/>
      <c r="AC578" s="84"/>
      <c r="AD578" s="84"/>
      <c r="AE578" s="84"/>
      <c r="AF578" s="84"/>
      <c r="AG578" s="84"/>
      <c r="AH578" s="84"/>
      <c r="AI578" s="84"/>
      <c r="AL578" s="84"/>
      <c r="AM578" s="84"/>
      <c r="AN578" s="84"/>
      <c r="AO578" s="84"/>
      <c r="AP578" s="84"/>
      <c r="AQ578" s="84"/>
      <c r="AR578" s="84"/>
      <c r="AS578" s="84"/>
      <c r="AT578" s="84"/>
      <c r="AU578" s="84"/>
      <c r="AV578" s="84"/>
      <c r="AY578" s="84"/>
      <c r="AZ578" s="84"/>
      <c r="BA578" s="84"/>
      <c r="BB578" s="84"/>
      <c r="BC578" s="84"/>
      <c r="BD578" s="84"/>
      <c r="BE578" s="84"/>
      <c r="BF578" s="942"/>
      <c r="BG578" s="942"/>
      <c r="BH578" s="942"/>
      <c r="BI578" s="84"/>
      <c r="BL578" s="84"/>
      <c r="BM578" s="84"/>
      <c r="BN578" s="84"/>
      <c r="BO578" s="84"/>
      <c r="BP578" s="84"/>
      <c r="BQ578" s="84"/>
      <c r="BR578" s="84"/>
      <c r="BS578" s="942"/>
      <c r="BT578" s="942"/>
      <c r="BU578" s="942"/>
      <c r="BV578" s="84"/>
    </row>
    <row r="579" spans="14:74" ht="14.25">
      <c r="N579" s="84"/>
      <c r="O579" s="84"/>
      <c r="P579" s="84"/>
      <c r="Q579" s="84"/>
      <c r="R579" s="84"/>
      <c r="S579" s="84"/>
      <c r="T579" s="84"/>
      <c r="U579" s="84"/>
      <c r="V579" s="84"/>
      <c r="W579" s="84"/>
      <c r="Y579" s="84"/>
      <c r="Z579" s="84"/>
      <c r="AA579" s="84"/>
      <c r="AB579" s="84"/>
      <c r="AC579" s="84"/>
      <c r="AD579" s="84"/>
      <c r="AE579" s="84"/>
      <c r="AF579" s="84"/>
      <c r="AG579" s="84"/>
      <c r="AH579" s="84"/>
      <c r="AI579" s="84"/>
      <c r="AL579" s="84"/>
      <c r="AM579" s="84"/>
      <c r="AN579" s="84"/>
      <c r="AO579" s="84"/>
      <c r="AP579" s="84"/>
      <c r="AQ579" s="84"/>
      <c r="AR579" s="84"/>
      <c r="AS579" s="84"/>
      <c r="AT579" s="84"/>
      <c r="AU579" s="84"/>
      <c r="AV579" s="84"/>
      <c r="AY579" s="84"/>
      <c r="AZ579" s="84"/>
      <c r="BA579" s="84"/>
      <c r="BB579" s="84"/>
      <c r="BC579" s="84"/>
      <c r="BD579" s="84"/>
      <c r="BE579" s="84"/>
      <c r="BF579" s="942"/>
      <c r="BG579" s="942"/>
      <c r="BH579" s="942"/>
      <c r="BI579" s="84"/>
      <c r="BL579" s="84"/>
      <c r="BM579" s="84"/>
      <c r="BN579" s="84"/>
      <c r="BO579" s="84"/>
      <c r="BP579" s="84"/>
      <c r="BQ579" s="84"/>
      <c r="BR579" s="84"/>
      <c r="BS579" s="942"/>
      <c r="BT579" s="942"/>
      <c r="BU579" s="942"/>
      <c r="BV579" s="84"/>
    </row>
    <row r="580" spans="14:74" ht="14.25">
      <c r="N580" s="84"/>
      <c r="O580" s="84"/>
      <c r="P580" s="84"/>
      <c r="Q580" s="84"/>
      <c r="R580" s="84"/>
      <c r="S580" s="84"/>
      <c r="T580" s="84"/>
      <c r="U580" s="84"/>
      <c r="V580" s="84"/>
      <c r="W580" s="84"/>
      <c r="Y580" s="84"/>
      <c r="Z580" s="84"/>
      <c r="AA580" s="84"/>
      <c r="AB580" s="84"/>
      <c r="AC580" s="84"/>
      <c r="AD580" s="84"/>
      <c r="AE580" s="84"/>
      <c r="AF580" s="84"/>
      <c r="AG580" s="84"/>
      <c r="AH580" s="84"/>
      <c r="AI580" s="84"/>
      <c r="AL580" s="84"/>
      <c r="AM580" s="84"/>
      <c r="AN580" s="84"/>
      <c r="AO580" s="84"/>
      <c r="AP580" s="84"/>
      <c r="AQ580" s="84"/>
      <c r="AR580" s="84"/>
      <c r="AS580" s="84"/>
      <c r="AT580" s="84"/>
      <c r="AU580" s="84"/>
      <c r="AV580" s="84"/>
      <c r="AY580" s="84"/>
      <c r="AZ580" s="84"/>
      <c r="BA580" s="84"/>
      <c r="BB580" s="84"/>
      <c r="BC580" s="84"/>
      <c r="BD580" s="84"/>
      <c r="BE580" s="84"/>
      <c r="BF580" s="942"/>
      <c r="BG580" s="942"/>
      <c r="BH580" s="942"/>
      <c r="BI580" s="84"/>
      <c r="BL580" s="84"/>
      <c r="BM580" s="84"/>
      <c r="BN580" s="84"/>
      <c r="BO580" s="84"/>
      <c r="BP580" s="84"/>
      <c r="BQ580" s="84"/>
      <c r="BR580" s="84"/>
      <c r="BS580" s="942"/>
      <c r="BT580" s="942"/>
      <c r="BU580" s="942"/>
      <c r="BV580" s="84"/>
    </row>
    <row r="581" spans="14:74" ht="14.25">
      <c r="N581" s="84"/>
      <c r="O581" s="84"/>
      <c r="P581" s="84"/>
      <c r="Q581" s="84"/>
      <c r="R581" s="84"/>
      <c r="S581" s="84"/>
      <c r="T581" s="84"/>
      <c r="U581" s="84"/>
      <c r="V581" s="84"/>
      <c r="W581" s="84"/>
      <c r="Y581" s="84"/>
      <c r="Z581" s="84"/>
      <c r="AA581" s="84"/>
      <c r="AB581" s="84"/>
      <c r="AC581" s="84"/>
      <c r="AD581" s="84"/>
      <c r="AE581" s="84"/>
      <c r="AF581" s="84"/>
      <c r="AG581" s="84"/>
      <c r="AH581" s="84"/>
      <c r="AI581" s="84"/>
      <c r="AL581" s="84"/>
      <c r="AM581" s="84"/>
      <c r="AN581" s="84"/>
      <c r="AO581" s="84"/>
      <c r="AP581" s="84"/>
      <c r="AQ581" s="84"/>
      <c r="AR581" s="84"/>
      <c r="AS581" s="84"/>
      <c r="AT581" s="84"/>
      <c r="AU581" s="84"/>
      <c r="AV581" s="84"/>
      <c r="AY581" s="84"/>
      <c r="AZ581" s="84"/>
      <c r="BA581" s="84"/>
      <c r="BB581" s="84"/>
      <c r="BC581" s="84"/>
      <c r="BD581" s="84"/>
      <c r="BE581" s="84"/>
      <c r="BF581" s="942"/>
      <c r="BG581" s="942"/>
      <c r="BH581" s="942"/>
      <c r="BI581" s="84"/>
      <c r="BL581" s="84"/>
      <c r="BM581" s="84"/>
      <c r="BN581" s="84"/>
      <c r="BO581" s="84"/>
      <c r="BP581" s="84"/>
      <c r="BQ581" s="84"/>
      <c r="BR581" s="84"/>
      <c r="BS581" s="942"/>
      <c r="BT581" s="942"/>
      <c r="BU581" s="942"/>
      <c r="BV581" s="84"/>
    </row>
    <row r="582" spans="14:74" ht="14.25">
      <c r="N582" s="84"/>
      <c r="O582" s="84"/>
      <c r="P582" s="84"/>
      <c r="Q582" s="84"/>
      <c r="R582" s="84"/>
      <c r="S582" s="84"/>
      <c r="T582" s="84"/>
      <c r="U582" s="84"/>
      <c r="V582" s="84"/>
      <c r="W582" s="84"/>
      <c r="Y582" s="84"/>
      <c r="Z582" s="84"/>
      <c r="AA582" s="84"/>
      <c r="AB582" s="84"/>
      <c r="AC582" s="84"/>
      <c r="AD582" s="84"/>
      <c r="AE582" s="84"/>
      <c r="AF582" s="84"/>
      <c r="AG582" s="84"/>
      <c r="AH582" s="84"/>
      <c r="AI582" s="84"/>
      <c r="AL582" s="84"/>
      <c r="AM582" s="84"/>
      <c r="AN582" s="84"/>
      <c r="AO582" s="84"/>
      <c r="AP582" s="84"/>
      <c r="AQ582" s="84"/>
      <c r="AR582" s="84"/>
      <c r="AS582" s="84"/>
      <c r="AT582" s="84"/>
      <c r="AU582" s="84"/>
      <c r="AV582" s="84"/>
      <c r="AY582" s="84"/>
      <c r="AZ582" s="84"/>
      <c r="BA582" s="84"/>
      <c r="BB582" s="84"/>
      <c r="BC582" s="84"/>
      <c r="BD582" s="84"/>
      <c r="BE582" s="84"/>
      <c r="BF582" s="942"/>
      <c r="BG582" s="942"/>
      <c r="BH582" s="942"/>
      <c r="BI582" s="84"/>
      <c r="BL582" s="84"/>
      <c r="BM582" s="84"/>
      <c r="BN582" s="84"/>
      <c r="BO582" s="84"/>
      <c r="BP582" s="84"/>
      <c r="BQ582" s="84"/>
      <c r="BR582" s="84"/>
      <c r="BS582" s="942"/>
      <c r="BT582" s="942"/>
      <c r="BU582" s="942"/>
      <c r="BV582" s="84"/>
    </row>
    <row r="583" spans="14:74" ht="14.25">
      <c r="N583" s="84"/>
      <c r="O583" s="84"/>
      <c r="P583" s="84"/>
      <c r="Q583" s="84"/>
      <c r="R583" s="84"/>
      <c r="S583" s="84"/>
      <c r="T583" s="84"/>
      <c r="U583" s="84"/>
      <c r="V583" s="84"/>
      <c r="W583" s="84"/>
      <c r="Y583" s="84"/>
      <c r="Z583" s="84"/>
      <c r="AA583" s="84"/>
      <c r="AB583" s="84"/>
      <c r="AC583" s="84"/>
      <c r="AD583" s="84"/>
      <c r="AE583" s="84"/>
      <c r="AF583" s="84"/>
      <c r="AG583" s="84"/>
      <c r="AH583" s="84"/>
      <c r="AI583" s="84"/>
      <c r="AL583" s="84"/>
      <c r="AM583" s="84"/>
      <c r="AN583" s="84"/>
      <c r="AO583" s="84"/>
      <c r="AP583" s="84"/>
      <c r="AQ583" s="84"/>
      <c r="AR583" s="84"/>
      <c r="AS583" s="84"/>
      <c r="AT583" s="84"/>
      <c r="AU583" s="84"/>
      <c r="AV583" s="84"/>
      <c r="AY583" s="84"/>
      <c r="AZ583" s="84"/>
      <c r="BA583" s="84"/>
      <c r="BB583" s="84"/>
      <c r="BC583" s="84"/>
      <c r="BD583" s="84"/>
      <c r="BE583" s="84"/>
      <c r="BF583" s="942"/>
      <c r="BG583" s="942"/>
      <c r="BH583" s="942"/>
      <c r="BI583" s="84"/>
      <c r="BL583" s="84"/>
      <c r="BM583" s="84"/>
      <c r="BN583" s="84"/>
      <c r="BO583" s="84"/>
      <c r="BP583" s="84"/>
      <c r="BQ583" s="84"/>
      <c r="BR583" s="84"/>
      <c r="BS583" s="942"/>
      <c r="BT583" s="942"/>
      <c r="BU583" s="942"/>
      <c r="BV583" s="84"/>
    </row>
    <row r="584" spans="14:74" ht="14.25">
      <c r="N584" s="84"/>
      <c r="O584" s="84"/>
      <c r="P584" s="84"/>
      <c r="Q584" s="84"/>
      <c r="R584" s="84"/>
      <c r="S584" s="84"/>
      <c r="T584" s="84"/>
      <c r="U584" s="84"/>
      <c r="V584" s="84"/>
      <c r="W584" s="84"/>
      <c r="Y584" s="84"/>
      <c r="Z584" s="84"/>
      <c r="AA584" s="84"/>
      <c r="AB584" s="84"/>
      <c r="AC584" s="84"/>
      <c r="AD584" s="84"/>
      <c r="AE584" s="84"/>
      <c r="AF584" s="84"/>
      <c r="AG584" s="84"/>
      <c r="AH584" s="84"/>
      <c r="AI584" s="84"/>
      <c r="AL584" s="84"/>
      <c r="AM584" s="84"/>
      <c r="AN584" s="84"/>
      <c r="AO584" s="84"/>
      <c r="AP584" s="84"/>
      <c r="AQ584" s="84"/>
      <c r="AR584" s="84"/>
      <c r="AS584" s="84"/>
      <c r="AT584" s="84"/>
      <c r="AU584" s="84"/>
      <c r="AV584" s="84"/>
      <c r="AY584" s="84"/>
      <c r="AZ584" s="84"/>
      <c r="BA584" s="84"/>
      <c r="BB584" s="84"/>
      <c r="BC584" s="84"/>
      <c r="BD584" s="84"/>
      <c r="BE584" s="84"/>
      <c r="BF584" s="942"/>
      <c r="BG584" s="942"/>
      <c r="BH584" s="942"/>
      <c r="BI584" s="84"/>
      <c r="BL584" s="84"/>
      <c r="BM584" s="84"/>
      <c r="BN584" s="84"/>
      <c r="BO584" s="84"/>
      <c r="BP584" s="84"/>
      <c r="BQ584" s="84"/>
      <c r="BR584" s="84"/>
      <c r="BS584" s="942"/>
      <c r="BT584" s="942"/>
      <c r="BU584" s="942"/>
      <c r="BV584" s="84"/>
    </row>
    <row r="585" spans="14:74" ht="14.25">
      <c r="N585" s="84"/>
      <c r="O585" s="84"/>
      <c r="P585" s="84"/>
      <c r="Q585" s="84"/>
      <c r="R585" s="84"/>
      <c r="S585" s="84"/>
      <c r="T585" s="84"/>
      <c r="U585" s="84"/>
      <c r="V585" s="84"/>
      <c r="W585" s="84"/>
      <c r="Y585" s="84"/>
      <c r="Z585" s="84"/>
      <c r="AA585" s="84"/>
      <c r="AB585" s="84"/>
      <c r="AC585" s="84"/>
      <c r="AD585" s="84"/>
      <c r="AE585" s="84"/>
      <c r="AF585" s="84"/>
      <c r="AG585" s="84"/>
      <c r="AH585" s="84"/>
      <c r="AI585" s="84"/>
      <c r="AL585" s="84"/>
      <c r="AM585" s="84"/>
      <c r="AN585" s="84"/>
      <c r="AO585" s="84"/>
      <c r="AP585" s="84"/>
      <c r="AQ585" s="84"/>
      <c r="AR585" s="84"/>
      <c r="AS585" s="84"/>
      <c r="AT585" s="84"/>
      <c r="AU585" s="84"/>
      <c r="AV585" s="84"/>
      <c r="AY585" s="84"/>
      <c r="AZ585" s="84"/>
      <c r="BA585" s="84"/>
      <c r="BB585" s="84"/>
      <c r="BC585" s="84"/>
      <c r="BD585" s="84"/>
      <c r="BE585" s="84"/>
      <c r="BF585" s="942"/>
      <c r="BG585" s="942"/>
      <c r="BH585" s="942"/>
      <c r="BI585" s="84"/>
      <c r="BL585" s="84"/>
      <c r="BM585" s="84"/>
      <c r="BN585" s="84"/>
      <c r="BO585" s="84"/>
      <c r="BP585" s="84"/>
      <c r="BQ585" s="84"/>
      <c r="BR585" s="84"/>
      <c r="BS585" s="942"/>
      <c r="BT585" s="942"/>
      <c r="BU585" s="942"/>
      <c r="BV585" s="84"/>
    </row>
    <row r="586" spans="14:74" ht="14.25">
      <c r="N586" s="84"/>
      <c r="O586" s="84"/>
      <c r="P586" s="84"/>
      <c r="Q586" s="84"/>
      <c r="R586" s="84"/>
      <c r="S586" s="84"/>
      <c r="T586" s="84"/>
      <c r="U586" s="84"/>
      <c r="V586" s="84"/>
      <c r="W586" s="84"/>
      <c r="Y586" s="84"/>
      <c r="Z586" s="84"/>
      <c r="AA586" s="84"/>
      <c r="AB586" s="84"/>
      <c r="AC586" s="84"/>
      <c r="AD586" s="84"/>
      <c r="AE586" s="84"/>
      <c r="AF586" s="84"/>
      <c r="AG586" s="84"/>
      <c r="AH586" s="84"/>
      <c r="AI586" s="84"/>
      <c r="AL586" s="84"/>
      <c r="AM586" s="84"/>
      <c r="AN586" s="84"/>
      <c r="AO586" s="84"/>
      <c r="AP586" s="84"/>
      <c r="AQ586" s="84"/>
      <c r="AR586" s="84"/>
      <c r="AS586" s="84"/>
      <c r="AT586" s="84"/>
      <c r="AU586" s="84"/>
      <c r="AV586" s="84"/>
      <c r="AY586" s="84"/>
      <c r="AZ586" s="84"/>
      <c r="BA586" s="84"/>
      <c r="BB586" s="84"/>
      <c r="BC586" s="84"/>
      <c r="BD586" s="84"/>
      <c r="BE586" s="84"/>
      <c r="BF586" s="942"/>
      <c r="BG586" s="942"/>
      <c r="BH586" s="942"/>
      <c r="BI586" s="84"/>
      <c r="BL586" s="84"/>
      <c r="BM586" s="84"/>
      <c r="BN586" s="84"/>
      <c r="BO586" s="84"/>
      <c r="BP586" s="84"/>
      <c r="BQ586" s="84"/>
      <c r="BR586" s="84"/>
      <c r="BS586" s="942"/>
      <c r="BT586" s="942"/>
      <c r="BU586" s="942"/>
      <c r="BV586" s="84"/>
    </row>
    <row r="587" spans="14:74" ht="14.25">
      <c r="N587" s="84"/>
      <c r="O587" s="84"/>
      <c r="P587" s="84"/>
      <c r="Q587" s="84"/>
      <c r="R587" s="84"/>
      <c r="S587" s="84"/>
      <c r="T587" s="84"/>
      <c r="U587" s="84"/>
      <c r="V587" s="84"/>
      <c r="W587" s="84"/>
      <c r="Y587" s="84"/>
      <c r="Z587" s="84"/>
      <c r="AA587" s="84"/>
      <c r="AB587" s="84"/>
      <c r="AC587" s="84"/>
      <c r="AD587" s="84"/>
      <c r="AE587" s="84"/>
      <c r="AF587" s="84"/>
      <c r="AG587" s="84"/>
      <c r="AH587" s="84"/>
      <c r="AI587" s="84"/>
      <c r="AL587" s="84"/>
      <c r="AM587" s="84"/>
      <c r="AN587" s="84"/>
      <c r="AO587" s="84"/>
      <c r="AP587" s="84"/>
      <c r="AQ587" s="84"/>
      <c r="AR587" s="84"/>
      <c r="AS587" s="84"/>
      <c r="AT587" s="84"/>
      <c r="AU587" s="84"/>
      <c r="AV587" s="84"/>
      <c r="AY587" s="84"/>
      <c r="AZ587" s="84"/>
      <c r="BA587" s="84"/>
      <c r="BB587" s="84"/>
      <c r="BC587" s="84"/>
      <c r="BD587" s="84"/>
      <c r="BE587" s="84"/>
      <c r="BF587" s="942"/>
      <c r="BG587" s="942"/>
      <c r="BH587" s="942"/>
      <c r="BI587" s="84"/>
      <c r="BL587" s="84"/>
      <c r="BM587" s="84"/>
      <c r="BN587" s="84"/>
      <c r="BO587" s="84"/>
      <c r="BP587" s="84"/>
      <c r="BQ587" s="84"/>
      <c r="BR587" s="84"/>
      <c r="BS587" s="942"/>
      <c r="BT587" s="942"/>
      <c r="BU587" s="942"/>
      <c r="BV587" s="84"/>
    </row>
    <row r="588" spans="14:74" ht="14.25">
      <c r="N588" s="84"/>
      <c r="O588" s="84"/>
      <c r="P588" s="84"/>
      <c r="Q588" s="84"/>
      <c r="R588" s="84"/>
      <c r="S588" s="84"/>
      <c r="T588" s="84"/>
      <c r="U588" s="84"/>
      <c r="V588" s="84"/>
      <c r="W588" s="84"/>
      <c r="Y588" s="84"/>
      <c r="Z588" s="84"/>
      <c r="AA588" s="84"/>
      <c r="AB588" s="84"/>
      <c r="AC588" s="84"/>
      <c r="AD588" s="84"/>
      <c r="AE588" s="84"/>
      <c r="AF588" s="84"/>
      <c r="AG588" s="84"/>
      <c r="AH588" s="84"/>
      <c r="AI588" s="84"/>
      <c r="AL588" s="84"/>
      <c r="AM588" s="84"/>
      <c r="AN588" s="84"/>
      <c r="AO588" s="84"/>
      <c r="AP588" s="84"/>
      <c r="AQ588" s="84"/>
      <c r="AR588" s="84"/>
      <c r="AS588" s="84"/>
      <c r="AT588" s="84"/>
      <c r="AU588" s="84"/>
      <c r="AV588" s="84"/>
      <c r="AY588" s="84"/>
      <c r="AZ588" s="84"/>
      <c r="BA588" s="84"/>
      <c r="BB588" s="84"/>
      <c r="BC588" s="84"/>
      <c r="BD588" s="84"/>
      <c r="BE588" s="84"/>
      <c r="BF588" s="942"/>
      <c r="BG588" s="942"/>
      <c r="BH588" s="942"/>
      <c r="BI588" s="84"/>
      <c r="BL588" s="84"/>
      <c r="BM588" s="84"/>
      <c r="BN588" s="84"/>
      <c r="BO588" s="84"/>
      <c r="BP588" s="84"/>
      <c r="BQ588" s="84"/>
      <c r="BR588" s="84"/>
      <c r="BS588" s="942"/>
      <c r="BT588" s="942"/>
      <c r="BU588" s="942"/>
      <c r="BV588" s="84"/>
    </row>
    <row r="589" spans="14:74" ht="14.25">
      <c r="N589" s="84"/>
      <c r="O589" s="84"/>
      <c r="P589" s="84"/>
      <c r="Q589" s="84"/>
      <c r="R589" s="84"/>
      <c r="S589" s="84"/>
      <c r="T589" s="84"/>
      <c r="U589" s="84"/>
      <c r="V589" s="84"/>
      <c r="W589" s="84"/>
      <c r="Y589" s="84"/>
      <c r="Z589" s="84"/>
      <c r="AA589" s="84"/>
      <c r="AB589" s="84"/>
      <c r="AC589" s="84"/>
      <c r="AD589" s="84"/>
      <c r="AE589" s="84"/>
      <c r="AF589" s="84"/>
      <c r="AG589" s="84"/>
      <c r="AH589" s="84"/>
      <c r="AI589" s="84"/>
      <c r="AL589" s="84"/>
      <c r="AM589" s="84"/>
      <c r="AN589" s="84"/>
      <c r="AO589" s="84"/>
      <c r="AP589" s="84"/>
      <c r="AQ589" s="84"/>
      <c r="AR589" s="84"/>
      <c r="AS589" s="84"/>
      <c r="AT589" s="84"/>
      <c r="AU589" s="84"/>
      <c r="AV589" s="84"/>
      <c r="AY589" s="84"/>
      <c r="AZ589" s="84"/>
      <c r="BA589" s="84"/>
      <c r="BB589" s="84"/>
      <c r="BC589" s="84"/>
      <c r="BD589" s="84"/>
      <c r="BE589" s="84"/>
      <c r="BF589" s="942"/>
      <c r="BG589" s="942"/>
      <c r="BH589" s="942"/>
      <c r="BI589" s="84"/>
      <c r="BL589" s="84"/>
      <c r="BM589" s="84"/>
      <c r="BN589" s="84"/>
      <c r="BO589" s="84"/>
      <c r="BP589" s="84"/>
      <c r="BQ589" s="84"/>
      <c r="BR589" s="84"/>
      <c r="BS589" s="942"/>
      <c r="BT589" s="942"/>
      <c r="BU589" s="942"/>
      <c r="BV589" s="84"/>
    </row>
    <row r="590" spans="14:74" ht="14.25">
      <c r="N590" s="84"/>
      <c r="O590" s="84"/>
      <c r="P590" s="84"/>
      <c r="Q590" s="84"/>
      <c r="R590" s="84"/>
      <c r="S590" s="84"/>
      <c r="T590" s="84"/>
      <c r="U590" s="84"/>
      <c r="V590" s="84"/>
      <c r="W590" s="84"/>
      <c r="Y590" s="84"/>
      <c r="Z590" s="84"/>
      <c r="AA590" s="84"/>
      <c r="AB590" s="84"/>
      <c r="AC590" s="84"/>
      <c r="AD590" s="84"/>
      <c r="AE590" s="84"/>
      <c r="AF590" s="84"/>
      <c r="AG590" s="84"/>
      <c r="AH590" s="84"/>
      <c r="AI590" s="84"/>
      <c r="AL590" s="84"/>
      <c r="AM590" s="84"/>
      <c r="AN590" s="84"/>
      <c r="AO590" s="84"/>
      <c r="AP590" s="84"/>
      <c r="AQ590" s="84"/>
      <c r="AR590" s="84"/>
      <c r="AS590" s="84"/>
      <c r="AT590" s="84"/>
      <c r="AU590" s="84"/>
      <c r="AV590" s="84"/>
      <c r="AY590" s="84"/>
      <c r="AZ590" s="84"/>
      <c r="BA590" s="84"/>
      <c r="BB590" s="84"/>
      <c r="BC590" s="84"/>
      <c r="BD590" s="84"/>
      <c r="BE590" s="84"/>
      <c r="BF590" s="942"/>
      <c r="BG590" s="942"/>
      <c r="BH590" s="942"/>
      <c r="BI590" s="84"/>
      <c r="BL590" s="84"/>
      <c r="BM590" s="84"/>
      <c r="BN590" s="84"/>
      <c r="BO590" s="84"/>
      <c r="BP590" s="84"/>
      <c r="BQ590" s="84"/>
      <c r="BR590" s="84"/>
      <c r="BS590" s="942"/>
      <c r="BT590" s="942"/>
      <c r="BU590" s="942"/>
      <c r="BV590" s="84"/>
    </row>
    <row r="591" spans="14:74" ht="14.25">
      <c r="N591" s="84"/>
      <c r="O591" s="84"/>
      <c r="P591" s="84"/>
      <c r="Q591" s="84"/>
      <c r="R591" s="84"/>
      <c r="S591" s="84"/>
      <c r="T591" s="84"/>
      <c r="U591" s="84"/>
      <c r="V591" s="84"/>
      <c r="W591" s="84"/>
      <c r="Y591" s="84"/>
      <c r="Z591" s="84"/>
      <c r="AA591" s="84"/>
      <c r="AB591" s="84"/>
      <c r="AC591" s="84"/>
      <c r="AD591" s="84"/>
      <c r="AE591" s="84"/>
      <c r="AF591" s="84"/>
      <c r="AG591" s="84"/>
      <c r="AH591" s="84"/>
      <c r="AI591" s="84"/>
      <c r="AL591" s="84"/>
      <c r="AM591" s="84"/>
      <c r="AN591" s="84"/>
      <c r="AO591" s="84"/>
      <c r="AP591" s="84"/>
      <c r="AQ591" s="84"/>
      <c r="AR591" s="84"/>
      <c r="AS591" s="84"/>
      <c r="AT591" s="84"/>
      <c r="AU591" s="84"/>
      <c r="AV591" s="84"/>
      <c r="AY591" s="84"/>
      <c r="AZ591" s="84"/>
      <c r="BA591" s="84"/>
      <c r="BB591" s="84"/>
      <c r="BC591" s="84"/>
      <c r="BD591" s="84"/>
      <c r="BE591" s="84"/>
      <c r="BF591" s="942"/>
      <c r="BG591" s="942"/>
      <c r="BH591" s="942"/>
      <c r="BI591" s="84"/>
      <c r="BL591" s="84"/>
      <c r="BM591" s="84"/>
      <c r="BN591" s="84"/>
      <c r="BO591" s="84"/>
      <c r="BP591" s="84"/>
      <c r="BQ591" s="84"/>
      <c r="BR591" s="84"/>
      <c r="BS591" s="942"/>
      <c r="BT591" s="942"/>
      <c r="BU591" s="942"/>
      <c r="BV591" s="84"/>
    </row>
    <row r="592" spans="14:74" ht="14.25">
      <c r="N592" s="84"/>
      <c r="O592" s="84"/>
      <c r="P592" s="84"/>
      <c r="Q592" s="84"/>
      <c r="R592" s="84"/>
      <c r="S592" s="84"/>
      <c r="T592" s="84"/>
      <c r="U592" s="84"/>
      <c r="V592" s="84"/>
      <c r="W592" s="84"/>
      <c r="Y592" s="84"/>
      <c r="Z592" s="84"/>
      <c r="AA592" s="84"/>
      <c r="AB592" s="84"/>
      <c r="AC592" s="84"/>
      <c r="AD592" s="84"/>
      <c r="AE592" s="84"/>
      <c r="AF592" s="84"/>
      <c r="AG592" s="84"/>
      <c r="AH592" s="84"/>
      <c r="AI592" s="84"/>
      <c r="AL592" s="84"/>
      <c r="AM592" s="84"/>
      <c r="AN592" s="84"/>
      <c r="AO592" s="84"/>
      <c r="AP592" s="84"/>
      <c r="AQ592" s="84"/>
      <c r="AR592" s="84"/>
      <c r="AS592" s="84"/>
      <c r="AT592" s="84"/>
      <c r="AU592" s="84"/>
      <c r="AV592" s="84"/>
      <c r="AY592" s="84"/>
      <c r="AZ592" s="84"/>
      <c r="BA592" s="84"/>
      <c r="BB592" s="84"/>
      <c r="BC592" s="84"/>
      <c r="BD592" s="84"/>
      <c r="BE592" s="84"/>
      <c r="BF592" s="942"/>
      <c r="BG592" s="942"/>
      <c r="BH592" s="942"/>
      <c r="BI592" s="84"/>
      <c r="BL592" s="84"/>
      <c r="BM592" s="84"/>
      <c r="BN592" s="84"/>
      <c r="BO592" s="84"/>
      <c r="BP592" s="84"/>
      <c r="BQ592" s="84"/>
      <c r="BR592" s="84"/>
      <c r="BS592" s="942"/>
      <c r="BT592" s="942"/>
      <c r="BU592" s="942"/>
      <c r="BV592" s="84"/>
    </row>
    <row r="593" spans="14:74" ht="14.25">
      <c r="N593" s="84"/>
      <c r="O593" s="84"/>
      <c r="P593" s="84"/>
      <c r="Q593" s="84"/>
      <c r="R593" s="84"/>
      <c r="S593" s="84"/>
      <c r="T593" s="84"/>
      <c r="U593" s="84"/>
      <c r="V593" s="84"/>
      <c r="W593" s="84"/>
      <c r="Y593" s="84"/>
      <c r="Z593" s="84"/>
      <c r="AA593" s="84"/>
      <c r="AB593" s="84"/>
      <c r="AC593" s="84"/>
      <c r="AD593" s="84"/>
      <c r="AE593" s="84"/>
      <c r="AF593" s="84"/>
      <c r="AG593" s="84"/>
      <c r="AH593" s="84"/>
      <c r="AI593" s="84"/>
      <c r="AL593" s="84"/>
      <c r="AM593" s="84"/>
      <c r="AN593" s="84"/>
      <c r="AO593" s="84"/>
      <c r="AP593" s="84"/>
      <c r="AQ593" s="84"/>
      <c r="AR593" s="84"/>
      <c r="AS593" s="84"/>
      <c r="AT593" s="84"/>
      <c r="AU593" s="84"/>
      <c r="AV593" s="84"/>
      <c r="AY593" s="84"/>
      <c r="AZ593" s="84"/>
      <c r="BA593" s="84"/>
      <c r="BB593" s="84"/>
      <c r="BC593" s="84"/>
      <c r="BD593" s="84"/>
      <c r="BE593" s="84"/>
      <c r="BF593" s="942"/>
      <c r="BG593" s="942"/>
      <c r="BH593" s="942"/>
      <c r="BI593" s="84"/>
      <c r="BL593" s="84"/>
      <c r="BM593" s="84"/>
      <c r="BN593" s="84"/>
      <c r="BO593" s="84"/>
      <c r="BP593" s="84"/>
      <c r="BQ593" s="84"/>
      <c r="BR593" s="84"/>
      <c r="BS593" s="942"/>
      <c r="BT593" s="942"/>
      <c r="BU593" s="942"/>
      <c r="BV593" s="84"/>
    </row>
    <row r="594" spans="14:74" ht="14.25">
      <c r="N594" s="84"/>
      <c r="O594" s="84"/>
      <c r="P594" s="84"/>
      <c r="Q594" s="84"/>
      <c r="R594" s="84"/>
      <c r="S594" s="84"/>
      <c r="T594" s="84"/>
      <c r="U594" s="84"/>
      <c r="V594" s="84"/>
      <c r="W594" s="84"/>
      <c r="Y594" s="84"/>
      <c r="Z594" s="84"/>
      <c r="AA594" s="84"/>
      <c r="AB594" s="84"/>
      <c r="AC594" s="84"/>
      <c r="AD594" s="84"/>
      <c r="AE594" s="84"/>
      <c r="AF594" s="84"/>
      <c r="AG594" s="84"/>
      <c r="AH594" s="84"/>
      <c r="AI594" s="84"/>
      <c r="AL594" s="84"/>
      <c r="AM594" s="84"/>
      <c r="AN594" s="84"/>
      <c r="AO594" s="84"/>
      <c r="AP594" s="84"/>
      <c r="AQ594" s="84"/>
      <c r="AR594" s="84"/>
      <c r="AS594" s="84"/>
      <c r="AT594" s="84"/>
      <c r="AU594" s="84"/>
      <c r="AV594" s="84"/>
      <c r="AY594" s="84"/>
      <c r="AZ594" s="84"/>
      <c r="BA594" s="84"/>
      <c r="BB594" s="84"/>
      <c r="BC594" s="84"/>
      <c r="BD594" s="84"/>
      <c r="BE594" s="84"/>
      <c r="BF594" s="942"/>
      <c r="BG594" s="942"/>
      <c r="BH594" s="942"/>
      <c r="BI594" s="84"/>
      <c r="BL594" s="84"/>
      <c r="BM594" s="84"/>
      <c r="BN594" s="84"/>
      <c r="BO594" s="84"/>
      <c r="BP594" s="84"/>
      <c r="BQ594" s="84"/>
      <c r="BR594" s="84"/>
      <c r="BS594" s="942"/>
      <c r="BT594" s="942"/>
      <c r="BU594" s="942"/>
      <c r="BV594" s="84"/>
    </row>
    <row r="595" spans="14:74" ht="14.25">
      <c r="N595" s="84"/>
      <c r="O595" s="84"/>
      <c r="P595" s="84"/>
      <c r="Q595" s="84"/>
      <c r="R595" s="84"/>
      <c r="S595" s="84"/>
      <c r="T595" s="84"/>
      <c r="U595" s="84"/>
      <c r="V595" s="84"/>
      <c r="W595" s="84"/>
      <c r="Y595" s="84"/>
      <c r="Z595" s="84"/>
      <c r="AA595" s="84"/>
      <c r="AB595" s="84"/>
      <c r="AC595" s="84"/>
      <c r="AD595" s="84"/>
      <c r="AE595" s="84"/>
      <c r="AF595" s="84"/>
      <c r="AG595" s="84"/>
      <c r="AH595" s="84"/>
      <c r="AI595" s="84"/>
      <c r="AL595" s="84"/>
      <c r="AM595" s="84"/>
      <c r="AN595" s="84"/>
      <c r="AO595" s="84"/>
      <c r="AP595" s="84"/>
      <c r="AQ595" s="84"/>
      <c r="AR595" s="84"/>
      <c r="AS595" s="84"/>
      <c r="AT595" s="84"/>
      <c r="AU595" s="84"/>
      <c r="AV595" s="84"/>
      <c r="AY595" s="84"/>
      <c r="AZ595" s="84"/>
      <c r="BA595" s="84"/>
      <c r="BB595" s="84"/>
      <c r="BC595" s="84"/>
      <c r="BD595" s="84"/>
      <c r="BE595" s="84"/>
      <c r="BF595" s="942"/>
      <c r="BG595" s="942"/>
      <c r="BH595" s="942"/>
      <c r="BI595" s="84"/>
      <c r="BL595" s="84"/>
      <c r="BM595" s="84"/>
      <c r="BN595" s="84"/>
      <c r="BO595" s="84"/>
      <c r="BP595" s="84"/>
      <c r="BQ595" s="84"/>
      <c r="BR595" s="84"/>
      <c r="BS595" s="942"/>
      <c r="BT595" s="942"/>
      <c r="BU595" s="942"/>
      <c r="BV595" s="84"/>
    </row>
    <row r="596" spans="14:74" ht="14.25">
      <c r="N596" s="84"/>
      <c r="O596" s="84"/>
      <c r="P596" s="84"/>
      <c r="Q596" s="84"/>
      <c r="R596" s="84"/>
      <c r="S596" s="84"/>
      <c r="T596" s="84"/>
      <c r="U596" s="84"/>
      <c r="V596" s="84"/>
      <c r="W596" s="84"/>
      <c r="Y596" s="84"/>
      <c r="Z596" s="84"/>
      <c r="AA596" s="84"/>
      <c r="AB596" s="84"/>
      <c r="AC596" s="84"/>
      <c r="AD596" s="84"/>
      <c r="AE596" s="84"/>
      <c r="AF596" s="84"/>
      <c r="AG596" s="84"/>
      <c r="AH596" s="84"/>
      <c r="AI596" s="84"/>
      <c r="AL596" s="84"/>
      <c r="AM596" s="84"/>
      <c r="AN596" s="84"/>
      <c r="AO596" s="84"/>
      <c r="AP596" s="84"/>
      <c r="AQ596" s="84"/>
      <c r="AR596" s="84"/>
      <c r="AS596" s="84"/>
      <c r="AT596" s="84"/>
      <c r="AU596" s="84"/>
      <c r="AV596" s="84"/>
      <c r="AY596" s="84"/>
      <c r="AZ596" s="84"/>
      <c r="BA596" s="84"/>
      <c r="BB596" s="84"/>
      <c r="BC596" s="84"/>
      <c r="BD596" s="84"/>
      <c r="BE596" s="84"/>
      <c r="BF596" s="942"/>
      <c r="BG596" s="942"/>
      <c r="BH596" s="942"/>
      <c r="BI596" s="84"/>
      <c r="BL596" s="84"/>
      <c r="BM596" s="84"/>
      <c r="BN596" s="84"/>
      <c r="BO596" s="84"/>
      <c r="BP596" s="84"/>
      <c r="BQ596" s="84"/>
      <c r="BR596" s="84"/>
      <c r="BS596" s="942"/>
      <c r="BT596" s="942"/>
      <c r="BU596" s="942"/>
      <c r="BV596" s="84"/>
    </row>
    <row r="597" spans="14:74" ht="14.25">
      <c r="N597" s="84"/>
      <c r="O597" s="84"/>
      <c r="P597" s="84"/>
      <c r="Q597" s="84"/>
      <c r="R597" s="84"/>
      <c r="S597" s="84"/>
      <c r="T597" s="84"/>
      <c r="U597" s="84"/>
      <c r="V597" s="84"/>
      <c r="W597" s="84"/>
      <c r="Y597" s="84"/>
      <c r="Z597" s="84"/>
      <c r="AA597" s="84"/>
      <c r="AB597" s="84"/>
      <c r="AC597" s="84"/>
      <c r="AD597" s="84"/>
      <c r="AE597" s="84"/>
      <c r="AF597" s="84"/>
      <c r="AG597" s="84"/>
      <c r="AH597" s="84"/>
      <c r="AI597" s="84"/>
      <c r="AL597" s="84"/>
      <c r="AM597" s="84"/>
      <c r="AN597" s="84"/>
      <c r="AO597" s="84"/>
      <c r="AP597" s="84"/>
      <c r="AQ597" s="84"/>
      <c r="AR597" s="84"/>
      <c r="AS597" s="84"/>
      <c r="AT597" s="84"/>
      <c r="AU597" s="84"/>
      <c r="AV597" s="84"/>
      <c r="AY597" s="84"/>
      <c r="AZ597" s="84"/>
      <c r="BA597" s="84"/>
      <c r="BB597" s="84"/>
      <c r="BC597" s="84"/>
      <c r="BD597" s="84"/>
      <c r="BE597" s="84"/>
      <c r="BF597" s="942"/>
      <c r="BG597" s="942"/>
      <c r="BH597" s="942"/>
      <c r="BI597" s="84"/>
      <c r="BL597" s="84"/>
      <c r="BM597" s="84"/>
      <c r="BN597" s="84"/>
      <c r="BO597" s="84"/>
      <c r="BP597" s="84"/>
      <c r="BQ597" s="84"/>
      <c r="BR597" s="84"/>
      <c r="BS597" s="942"/>
      <c r="BT597" s="942"/>
      <c r="BU597" s="942"/>
      <c r="BV597" s="84"/>
    </row>
    <row r="598" spans="14:74" ht="14.25">
      <c r="N598" s="84"/>
      <c r="O598" s="84"/>
      <c r="P598" s="84"/>
      <c r="Q598" s="84"/>
      <c r="R598" s="84"/>
      <c r="S598" s="84"/>
      <c r="T598" s="84"/>
      <c r="U598" s="84"/>
      <c r="V598" s="84"/>
      <c r="W598" s="84"/>
      <c r="Y598" s="84"/>
      <c r="Z598" s="84"/>
      <c r="AA598" s="84"/>
      <c r="AB598" s="84"/>
      <c r="AC598" s="84"/>
      <c r="AD598" s="84"/>
      <c r="AE598" s="84"/>
      <c r="AF598" s="84"/>
      <c r="AG598" s="84"/>
      <c r="AH598" s="84"/>
      <c r="AI598" s="84"/>
      <c r="AL598" s="84"/>
      <c r="AM598" s="84"/>
      <c r="AN598" s="84"/>
      <c r="AO598" s="84"/>
      <c r="AP598" s="84"/>
      <c r="AQ598" s="84"/>
      <c r="AR598" s="84"/>
      <c r="AS598" s="84"/>
      <c r="AT598" s="84"/>
      <c r="AU598" s="84"/>
      <c r="AV598" s="84"/>
      <c r="AY598" s="84"/>
      <c r="AZ598" s="84"/>
      <c r="BA598" s="84"/>
      <c r="BB598" s="84"/>
      <c r="BC598" s="84"/>
      <c r="BD598" s="84"/>
      <c r="BE598" s="84"/>
      <c r="BF598" s="942"/>
      <c r="BG598" s="942"/>
      <c r="BH598" s="942"/>
      <c r="BI598" s="84"/>
      <c r="BL598" s="84"/>
      <c r="BM598" s="84"/>
      <c r="BN598" s="84"/>
      <c r="BO598" s="84"/>
      <c r="BP598" s="84"/>
      <c r="BQ598" s="84"/>
      <c r="BR598" s="84"/>
      <c r="BS598" s="942"/>
      <c r="BT598" s="942"/>
      <c r="BU598" s="942"/>
      <c r="BV598" s="84"/>
    </row>
    <row r="599" spans="14:74" ht="14.25">
      <c r="N599" s="84"/>
      <c r="O599" s="84"/>
      <c r="P599" s="84"/>
      <c r="Q599" s="84"/>
      <c r="R599" s="84"/>
      <c r="S599" s="84"/>
      <c r="T599" s="84"/>
      <c r="U599" s="84"/>
      <c r="V599" s="84"/>
      <c r="W599" s="84"/>
      <c r="Y599" s="84"/>
      <c r="Z599" s="84"/>
      <c r="AA599" s="84"/>
      <c r="AB599" s="84"/>
      <c r="AC599" s="84"/>
      <c r="AD599" s="84"/>
      <c r="AE599" s="84"/>
      <c r="AF599" s="84"/>
      <c r="AG599" s="84"/>
      <c r="AH599" s="84"/>
      <c r="AI599" s="84"/>
      <c r="AL599" s="84"/>
      <c r="AM599" s="84"/>
      <c r="AN599" s="84"/>
      <c r="AO599" s="84"/>
      <c r="AP599" s="84"/>
      <c r="AQ599" s="84"/>
      <c r="AR599" s="84"/>
      <c r="AS599" s="84"/>
      <c r="AT599" s="84"/>
      <c r="AU599" s="84"/>
      <c r="AV599" s="84"/>
      <c r="AY599" s="84"/>
      <c r="AZ599" s="84"/>
      <c r="BA599" s="84"/>
      <c r="BB599" s="84"/>
      <c r="BC599" s="84"/>
      <c r="BD599" s="84"/>
      <c r="BE599" s="84"/>
      <c r="BF599" s="942"/>
      <c r="BG599" s="942"/>
      <c r="BH599" s="942"/>
      <c r="BI599" s="84"/>
      <c r="BL599" s="84"/>
      <c r="BM599" s="84"/>
      <c r="BN599" s="84"/>
      <c r="BO599" s="84"/>
      <c r="BP599" s="84"/>
      <c r="BQ599" s="84"/>
      <c r="BR599" s="84"/>
      <c r="BS599" s="942"/>
      <c r="BT599" s="942"/>
      <c r="BU599" s="942"/>
      <c r="BV599" s="84"/>
    </row>
    <row r="600" spans="14:74" ht="14.25">
      <c r="N600" s="84"/>
      <c r="O600" s="84"/>
      <c r="P600" s="84"/>
      <c r="Q600" s="84"/>
      <c r="R600" s="84"/>
      <c r="S600" s="84"/>
      <c r="T600" s="84"/>
      <c r="U600" s="84"/>
      <c r="V600" s="84"/>
      <c r="W600" s="84"/>
      <c r="Y600" s="84"/>
      <c r="Z600" s="84"/>
      <c r="AA600" s="84"/>
      <c r="AB600" s="84"/>
      <c r="AC600" s="84"/>
      <c r="AD600" s="84"/>
      <c r="AE600" s="84"/>
      <c r="AF600" s="84"/>
      <c r="AG600" s="84"/>
      <c r="AH600" s="84"/>
      <c r="AI600" s="84"/>
      <c r="AL600" s="84"/>
      <c r="AM600" s="84"/>
      <c r="AN600" s="84"/>
      <c r="AO600" s="84"/>
      <c r="AP600" s="84"/>
      <c r="AQ600" s="84"/>
      <c r="AR600" s="84"/>
      <c r="AS600" s="84"/>
      <c r="AT600" s="84"/>
      <c r="AU600" s="84"/>
      <c r="AV600" s="84"/>
      <c r="AY600" s="84"/>
      <c r="AZ600" s="84"/>
      <c r="BA600" s="84"/>
      <c r="BB600" s="84"/>
      <c r="BC600" s="84"/>
      <c r="BD600" s="84"/>
      <c r="BE600" s="84"/>
      <c r="BF600" s="942"/>
      <c r="BG600" s="942"/>
      <c r="BH600" s="942"/>
      <c r="BI600" s="84"/>
      <c r="BL600" s="84"/>
      <c r="BM600" s="84"/>
      <c r="BN600" s="84"/>
      <c r="BO600" s="84"/>
      <c r="BP600" s="84"/>
      <c r="BQ600" s="84"/>
      <c r="BR600" s="84"/>
      <c r="BS600" s="942"/>
      <c r="BT600" s="942"/>
      <c r="BU600" s="942"/>
      <c r="BV600" s="84"/>
    </row>
    <row r="601" spans="14:74" ht="14.25">
      <c r="N601" s="84"/>
      <c r="O601" s="84"/>
      <c r="P601" s="84"/>
      <c r="Q601" s="84"/>
      <c r="R601" s="84"/>
      <c r="S601" s="84"/>
      <c r="T601" s="84"/>
      <c r="U601" s="84"/>
      <c r="V601" s="84"/>
      <c r="W601" s="84"/>
      <c r="Y601" s="84"/>
      <c r="Z601" s="84"/>
      <c r="AA601" s="84"/>
      <c r="AB601" s="84"/>
      <c r="AC601" s="84"/>
      <c r="AD601" s="84"/>
      <c r="AE601" s="84"/>
      <c r="AF601" s="84"/>
      <c r="AG601" s="84"/>
      <c r="AH601" s="84"/>
      <c r="AI601" s="84"/>
      <c r="AL601" s="84"/>
      <c r="AM601" s="84"/>
      <c r="AN601" s="84"/>
      <c r="AO601" s="84"/>
      <c r="AP601" s="84"/>
      <c r="AQ601" s="84"/>
      <c r="AR601" s="84"/>
      <c r="AS601" s="84"/>
      <c r="AT601" s="84"/>
      <c r="AU601" s="84"/>
      <c r="AV601" s="84"/>
      <c r="AY601" s="84"/>
      <c r="AZ601" s="84"/>
      <c r="BA601" s="84"/>
      <c r="BB601" s="84"/>
      <c r="BC601" s="84"/>
      <c r="BD601" s="84"/>
      <c r="BE601" s="84"/>
      <c r="BF601" s="942"/>
      <c r="BG601" s="942"/>
      <c r="BH601" s="942"/>
      <c r="BI601" s="84"/>
      <c r="BL601" s="84"/>
      <c r="BM601" s="84"/>
      <c r="BN601" s="84"/>
      <c r="BO601" s="84"/>
      <c r="BP601" s="84"/>
      <c r="BQ601" s="84"/>
      <c r="BR601" s="84"/>
      <c r="BS601" s="942"/>
      <c r="BT601" s="942"/>
      <c r="BU601" s="942"/>
      <c r="BV601" s="84"/>
    </row>
    <row r="602" spans="14:74" ht="14.25">
      <c r="N602" s="84"/>
      <c r="O602" s="84"/>
      <c r="P602" s="84"/>
      <c r="Q602" s="84"/>
      <c r="R602" s="84"/>
      <c r="S602" s="84"/>
      <c r="T602" s="84"/>
      <c r="U602" s="84"/>
      <c r="V602" s="84"/>
      <c r="W602" s="84"/>
      <c r="Y602" s="84"/>
      <c r="Z602" s="84"/>
      <c r="AA602" s="84"/>
      <c r="AB602" s="84"/>
      <c r="AC602" s="84"/>
      <c r="AD602" s="84"/>
      <c r="AE602" s="84"/>
      <c r="AF602" s="84"/>
      <c r="AG602" s="84"/>
      <c r="AH602" s="84"/>
      <c r="AI602" s="84"/>
      <c r="AL602" s="84"/>
      <c r="AM602" s="84"/>
      <c r="AN602" s="84"/>
      <c r="AO602" s="84"/>
      <c r="AP602" s="84"/>
      <c r="AQ602" s="84"/>
      <c r="AR602" s="84"/>
      <c r="AS602" s="84"/>
      <c r="AT602" s="84"/>
      <c r="AU602" s="84"/>
      <c r="AV602" s="84"/>
      <c r="AY602" s="84"/>
      <c r="AZ602" s="84"/>
      <c r="BA602" s="84"/>
      <c r="BB602" s="84"/>
      <c r="BC602" s="84"/>
      <c r="BD602" s="84"/>
      <c r="BE602" s="84"/>
      <c r="BF602" s="942"/>
      <c r="BG602" s="942"/>
      <c r="BH602" s="942"/>
      <c r="BI602" s="84"/>
      <c r="BL602" s="84"/>
      <c r="BM602" s="84"/>
      <c r="BN602" s="84"/>
      <c r="BO602" s="84"/>
      <c r="BP602" s="84"/>
      <c r="BQ602" s="84"/>
      <c r="BR602" s="84"/>
      <c r="BS602" s="942"/>
      <c r="BT602" s="942"/>
      <c r="BU602" s="942"/>
      <c r="BV602" s="84"/>
    </row>
    <row r="603" spans="14:74" ht="14.25">
      <c r="N603" s="84"/>
      <c r="O603" s="84"/>
      <c r="P603" s="84"/>
      <c r="Q603" s="84"/>
      <c r="R603" s="84"/>
      <c r="S603" s="84"/>
      <c r="T603" s="84"/>
      <c r="U603" s="84"/>
      <c r="V603" s="84"/>
      <c r="W603" s="84"/>
      <c r="Y603" s="84"/>
      <c r="Z603" s="84"/>
      <c r="AA603" s="84"/>
      <c r="AB603" s="84"/>
      <c r="AC603" s="84"/>
      <c r="AD603" s="84"/>
      <c r="AE603" s="84"/>
      <c r="AF603" s="84"/>
      <c r="AG603" s="84"/>
      <c r="AH603" s="84"/>
      <c r="AI603" s="84"/>
      <c r="AL603" s="84"/>
      <c r="AM603" s="84"/>
      <c r="AN603" s="84"/>
      <c r="AO603" s="84"/>
      <c r="AP603" s="84"/>
      <c r="AQ603" s="84"/>
      <c r="AR603" s="84"/>
      <c r="AS603" s="84"/>
      <c r="AT603" s="84"/>
      <c r="AU603" s="84"/>
      <c r="AV603" s="84"/>
      <c r="AY603" s="84"/>
      <c r="AZ603" s="84"/>
      <c r="BA603" s="84"/>
      <c r="BB603" s="84"/>
      <c r="BC603" s="84"/>
      <c r="BD603" s="84"/>
      <c r="BE603" s="84"/>
      <c r="BF603" s="942"/>
      <c r="BG603" s="942"/>
      <c r="BH603" s="942"/>
      <c r="BI603" s="84"/>
      <c r="BL603" s="84"/>
      <c r="BM603" s="84"/>
      <c r="BN603" s="84"/>
      <c r="BO603" s="84"/>
      <c r="BP603" s="84"/>
      <c r="BQ603" s="84"/>
      <c r="BR603" s="84"/>
      <c r="BS603" s="942"/>
      <c r="BT603" s="942"/>
      <c r="BU603" s="942"/>
      <c r="BV603" s="84"/>
    </row>
    <row r="604" spans="14:74" ht="14.25">
      <c r="N604" s="84"/>
      <c r="O604" s="84"/>
      <c r="P604" s="84"/>
      <c r="Q604" s="84"/>
      <c r="R604" s="84"/>
      <c r="S604" s="84"/>
      <c r="T604" s="84"/>
      <c r="U604" s="84"/>
      <c r="V604" s="84"/>
      <c r="W604" s="84"/>
      <c r="Y604" s="84"/>
      <c r="Z604" s="84"/>
      <c r="AA604" s="84"/>
      <c r="AB604" s="84"/>
      <c r="AC604" s="84"/>
      <c r="AD604" s="84"/>
      <c r="AE604" s="84"/>
      <c r="AF604" s="84"/>
      <c r="AG604" s="84"/>
      <c r="AH604" s="84"/>
      <c r="AI604" s="84"/>
      <c r="AL604" s="84"/>
      <c r="AM604" s="84"/>
      <c r="AN604" s="84"/>
      <c r="AO604" s="84"/>
      <c r="AP604" s="84"/>
      <c r="AQ604" s="84"/>
      <c r="AR604" s="84"/>
      <c r="AS604" s="84"/>
      <c r="AT604" s="84"/>
      <c r="AU604" s="84"/>
      <c r="AV604" s="84"/>
      <c r="AY604" s="84"/>
      <c r="AZ604" s="84"/>
      <c r="BA604" s="84"/>
      <c r="BB604" s="84"/>
      <c r="BC604" s="84"/>
      <c r="BD604" s="84"/>
      <c r="BE604" s="84"/>
      <c r="BF604" s="942"/>
      <c r="BG604" s="942"/>
      <c r="BH604" s="942"/>
      <c r="BI604" s="84"/>
      <c r="BL604" s="84"/>
      <c r="BM604" s="84"/>
      <c r="BN604" s="84"/>
      <c r="BO604" s="84"/>
      <c r="BP604" s="84"/>
      <c r="BQ604" s="84"/>
      <c r="BR604" s="84"/>
      <c r="BS604" s="942"/>
      <c r="BT604" s="942"/>
      <c r="BU604" s="942"/>
      <c r="BV604" s="84"/>
    </row>
    <row r="605" spans="14:74" ht="14.25">
      <c r="N605" s="84"/>
      <c r="O605" s="84"/>
      <c r="P605" s="84"/>
      <c r="Q605" s="84"/>
      <c r="R605" s="84"/>
      <c r="S605" s="84"/>
      <c r="T605" s="84"/>
      <c r="U605" s="84"/>
      <c r="V605" s="84"/>
      <c r="W605" s="84"/>
      <c r="Y605" s="84"/>
      <c r="Z605" s="84"/>
      <c r="AA605" s="84"/>
      <c r="AB605" s="84"/>
      <c r="AC605" s="84"/>
      <c r="AD605" s="84"/>
      <c r="AE605" s="84"/>
      <c r="AF605" s="84"/>
      <c r="AG605" s="84"/>
      <c r="AH605" s="84"/>
      <c r="AI605" s="84"/>
      <c r="AL605" s="84"/>
      <c r="AM605" s="84"/>
      <c r="AN605" s="84"/>
      <c r="AO605" s="84"/>
      <c r="AP605" s="84"/>
      <c r="AQ605" s="84"/>
      <c r="AR605" s="84"/>
      <c r="AS605" s="84"/>
      <c r="AT605" s="84"/>
      <c r="AU605" s="84"/>
      <c r="AV605" s="84"/>
      <c r="AY605" s="84"/>
      <c r="AZ605" s="84"/>
      <c r="BA605" s="84"/>
      <c r="BB605" s="84"/>
      <c r="BC605" s="84"/>
      <c r="BD605" s="84"/>
      <c r="BE605" s="84"/>
      <c r="BF605" s="942"/>
      <c r="BG605" s="942"/>
      <c r="BH605" s="942"/>
      <c r="BI605" s="84"/>
      <c r="BL605" s="84"/>
      <c r="BM605" s="84"/>
      <c r="BN605" s="84"/>
      <c r="BO605" s="84"/>
      <c r="BP605" s="84"/>
      <c r="BQ605" s="84"/>
      <c r="BR605" s="84"/>
      <c r="BS605" s="942"/>
      <c r="BT605" s="942"/>
      <c r="BU605" s="942"/>
      <c r="BV605" s="84"/>
    </row>
    <row r="606" spans="14:74" ht="14.25">
      <c r="N606" s="84"/>
      <c r="O606" s="84"/>
      <c r="P606" s="84"/>
      <c r="Q606" s="84"/>
      <c r="R606" s="84"/>
      <c r="S606" s="84"/>
      <c r="T606" s="84"/>
      <c r="U606" s="84"/>
      <c r="V606" s="84"/>
      <c r="W606" s="84"/>
      <c r="Y606" s="84"/>
      <c r="Z606" s="84"/>
      <c r="AA606" s="84"/>
      <c r="AB606" s="84"/>
      <c r="AC606" s="84"/>
      <c r="AD606" s="84"/>
      <c r="AE606" s="84"/>
      <c r="AF606" s="84"/>
      <c r="AG606" s="84"/>
      <c r="AH606" s="84"/>
      <c r="AI606" s="84"/>
      <c r="AL606" s="84"/>
      <c r="AM606" s="84"/>
      <c r="AN606" s="84"/>
      <c r="AO606" s="84"/>
      <c r="AP606" s="84"/>
      <c r="AQ606" s="84"/>
      <c r="AR606" s="84"/>
      <c r="AS606" s="84"/>
      <c r="AT606" s="84"/>
      <c r="AU606" s="84"/>
      <c r="AV606" s="84"/>
      <c r="AY606" s="84"/>
      <c r="AZ606" s="84"/>
      <c r="BA606" s="84"/>
      <c r="BB606" s="84"/>
      <c r="BC606" s="84"/>
      <c r="BD606" s="84"/>
      <c r="BE606" s="84"/>
      <c r="BF606" s="942"/>
      <c r="BG606" s="942"/>
      <c r="BH606" s="942"/>
      <c r="BI606" s="84"/>
      <c r="BL606" s="84"/>
      <c r="BM606" s="84"/>
      <c r="BN606" s="84"/>
      <c r="BO606" s="84"/>
      <c r="BP606" s="84"/>
      <c r="BQ606" s="84"/>
      <c r="BR606" s="84"/>
      <c r="BS606" s="942"/>
      <c r="BT606" s="942"/>
      <c r="BU606" s="942"/>
      <c r="BV606" s="84"/>
    </row>
    <row r="607" spans="14:74" ht="14.25">
      <c r="N607" s="84"/>
      <c r="O607" s="84"/>
      <c r="P607" s="84"/>
      <c r="Q607" s="84"/>
      <c r="R607" s="84"/>
      <c r="S607" s="84"/>
      <c r="T607" s="84"/>
      <c r="U607" s="84"/>
      <c r="V607" s="84"/>
      <c r="W607" s="84"/>
      <c r="Y607" s="84"/>
      <c r="Z607" s="84"/>
      <c r="AA607" s="84"/>
      <c r="AB607" s="84"/>
      <c r="AC607" s="84"/>
      <c r="AD607" s="84"/>
      <c r="AE607" s="84"/>
      <c r="AF607" s="84"/>
      <c r="AG607" s="84"/>
      <c r="AH607" s="84"/>
      <c r="AI607" s="84"/>
      <c r="AL607" s="84"/>
      <c r="AM607" s="84"/>
      <c r="AN607" s="84"/>
      <c r="AO607" s="84"/>
      <c r="AP607" s="84"/>
      <c r="AQ607" s="84"/>
      <c r="AR607" s="84"/>
      <c r="AS607" s="84"/>
      <c r="AT607" s="84"/>
      <c r="AU607" s="84"/>
      <c r="AV607" s="84"/>
      <c r="AY607" s="84"/>
      <c r="AZ607" s="84"/>
      <c r="BA607" s="84"/>
      <c r="BB607" s="84"/>
      <c r="BC607" s="84"/>
      <c r="BD607" s="84"/>
      <c r="BE607" s="84"/>
      <c r="BF607" s="942"/>
      <c r="BG607" s="942"/>
      <c r="BH607" s="942"/>
      <c r="BI607" s="84"/>
      <c r="BL607" s="84"/>
      <c r="BM607" s="84"/>
      <c r="BN607" s="84"/>
      <c r="BO607" s="84"/>
      <c r="BP607" s="84"/>
      <c r="BQ607" s="84"/>
      <c r="BR607" s="84"/>
      <c r="BS607" s="942"/>
      <c r="BT607" s="942"/>
      <c r="BU607" s="942"/>
      <c r="BV607" s="84"/>
    </row>
    <row r="608" spans="14:74" ht="14.25">
      <c r="N608" s="84"/>
      <c r="O608" s="84"/>
      <c r="P608" s="84"/>
      <c r="Q608" s="84"/>
      <c r="R608" s="84"/>
      <c r="S608" s="84"/>
      <c r="T608" s="84"/>
      <c r="U608" s="84"/>
      <c r="V608" s="84"/>
      <c r="W608" s="84"/>
      <c r="Y608" s="84"/>
      <c r="Z608" s="84"/>
      <c r="AA608" s="84"/>
      <c r="AB608" s="84"/>
      <c r="AC608" s="84"/>
      <c r="AD608" s="84"/>
      <c r="AE608" s="84"/>
      <c r="AF608" s="84"/>
      <c r="AG608" s="84"/>
      <c r="AH608" s="84"/>
      <c r="AI608" s="84"/>
      <c r="AL608" s="84"/>
      <c r="AM608" s="84"/>
      <c r="AN608" s="84"/>
      <c r="AO608" s="84"/>
      <c r="AP608" s="84"/>
      <c r="AQ608" s="84"/>
      <c r="AR608" s="84"/>
      <c r="AS608" s="84"/>
      <c r="AT608" s="84"/>
      <c r="AU608" s="84"/>
      <c r="AV608" s="84"/>
      <c r="AY608" s="84"/>
      <c r="AZ608" s="84"/>
      <c r="BA608" s="84"/>
      <c r="BB608" s="84"/>
      <c r="BC608" s="84"/>
      <c r="BD608" s="84"/>
      <c r="BE608" s="84"/>
      <c r="BF608" s="942"/>
      <c r="BG608" s="942"/>
      <c r="BH608" s="942"/>
      <c r="BI608" s="84"/>
      <c r="BL608" s="84"/>
      <c r="BM608" s="84"/>
      <c r="BN608" s="84"/>
      <c r="BO608" s="84"/>
      <c r="BP608" s="84"/>
      <c r="BQ608" s="84"/>
      <c r="BR608" s="84"/>
      <c r="BS608" s="942"/>
      <c r="BT608" s="942"/>
      <c r="BU608" s="942"/>
      <c r="BV608" s="84"/>
    </row>
    <row r="609" spans="14:74" ht="14.25">
      <c r="N609" s="84"/>
      <c r="O609" s="84"/>
      <c r="P609" s="84"/>
      <c r="Q609" s="84"/>
      <c r="R609" s="84"/>
      <c r="S609" s="84"/>
      <c r="T609" s="84"/>
      <c r="U609" s="84"/>
      <c r="V609" s="84"/>
      <c r="W609" s="84"/>
      <c r="Y609" s="84"/>
      <c r="Z609" s="84"/>
      <c r="AA609" s="84"/>
      <c r="AB609" s="84"/>
      <c r="AC609" s="84"/>
      <c r="AD609" s="84"/>
      <c r="AE609" s="84"/>
      <c r="AF609" s="84"/>
      <c r="AG609" s="84"/>
      <c r="AH609" s="84"/>
      <c r="AI609" s="84"/>
      <c r="AL609" s="84"/>
      <c r="AM609" s="84"/>
      <c r="AN609" s="84"/>
      <c r="AO609" s="84"/>
      <c r="AP609" s="84"/>
      <c r="AQ609" s="84"/>
      <c r="AR609" s="84"/>
      <c r="AS609" s="84"/>
      <c r="AT609" s="84"/>
      <c r="AU609" s="84"/>
      <c r="AV609" s="84"/>
      <c r="AY609" s="84"/>
      <c r="AZ609" s="84"/>
      <c r="BA609" s="84"/>
      <c r="BB609" s="84"/>
      <c r="BC609" s="84"/>
      <c r="BD609" s="84"/>
      <c r="BE609" s="84"/>
      <c r="BF609" s="942"/>
      <c r="BG609" s="942"/>
      <c r="BH609" s="942"/>
      <c r="BI609" s="84"/>
      <c r="BL609" s="84"/>
      <c r="BM609" s="84"/>
      <c r="BN609" s="84"/>
      <c r="BO609" s="84"/>
      <c r="BP609" s="84"/>
      <c r="BQ609" s="84"/>
      <c r="BR609" s="84"/>
      <c r="BS609" s="942"/>
      <c r="BT609" s="942"/>
      <c r="BU609" s="942"/>
      <c r="BV609" s="84"/>
    </row>
    <row r="610" spans="14:74" ht="14.25">
      <c r="N610" s="84"/>
      <c r="O610" s="84"/>
      <c r="P610" s="84"/>
      <c r="Q610" s="84"/>
      <c r="R610" s="84"/>
      <c r="S610" s="84"/>
      <c r="T610" s="84"/>
      <c r="U610" s="84"/>
      <c r="V610" s="84"/>
      <c r="W610" s="84"/>
      <c r="Y610" s="84"/>
      <c r="Z610" s="84"/>
      <c r="AA610" s="84"/>
      <c r="AB610" s="84"/>
      <c r="AC610" s="84"/>
      <c r="AD610" s="84"/>
      <c r="AE610" s="84"/>
      <c r="AF610" s="84"/>
      <c r="AG610" s="84"/>
      <c r="AH610" s="84"/>
      <c r="AI610" s="84"/>
      <c r="AL610" s="84"/>
      <c r="AM610" s="84"/>
      <c r="AN610" s="84"/>
      <c r="AO610" s="84"/>
      <c r="AP610" s="84"/>
      <c r="AQ610" s="84"/>
      <c r="AR610" s="84"/>
      <c r="AS610" s="84"/>
      <c r="AT610" s="84"/>
      <c r="AU610" s="84"/>
      <c r="AV610" s="84"/>
      <c r="AY610" s="84"/>
      <c r="AZ610" s="84"/>
      <c r="BA610" s="84"/>
      <c r="BB610" s="84"/>
      <c r="BC610" s="84"/>
      <c r="BD610" s="84"/>
      <c r="BE610" s="84"/>
      <c r="BF610" s="942"/>
      <c r="BG610" s="942"/>
      <c r="BH610" s="942"/>
      <c r="BI610" s="84"/>
      <c r="BL610" s="84"/>
      <c r="BM610" s="84"/>
      <c r="BN610" s="84"/>
      <c r="BO610" s="84"/>
      <c r="BP610" s="84"/>
      <c r="BQ610" s="84"/>
      <c r="BR610" s="84"/>
      <c r="BS610" s="942"/>
      <c r="BT610" s="942"/>
      <c r="BU610" s="942"/>
      <c r="BV610" s="84"/>
    </row>
    <row r="611" spans="14:74" ht="14.25">
      <c r="N611" s="84"/>
      <c r="O611" s="84"/>
      <c r="P611" s="84"/>
      <c r="Q611" s="84"/>
      <c r="R611" s="84"/>
      <c r="S611" s="84"/>
      <c r="T611" s="84"/>
      <c r="U611" s="84"/>
      <c r="V611" s="84"/>
      <c r="W611" s="84"/>
      <c r="Y611" s="84"/>
      <c r="Z611" s="84"/>
      <c r="AA611" s="84"/>
      <c r="AB611" s="84"/>
      <c r="AC611" s="84"/>
      <c r="AD611" s="84"/>
      <c r="AE611" s="84"/>
      <c r="AF611" s="84"/>
      <c r="AG611" s="84"/>
      <c r="AH611" s="84"/>
      <c r="AI611" s="84"/>
      <c r="AL611" s="84"/>
      <c r="AM611" s="84"/>
      <c r="AN611" s="84"/>
      <c r="AO611" s="84"/>
      <c r="AP611" s="84"/>
      <c r="AQ611" s="84"/>
      <c r="AR611" s="84"/>
      <c r="AS611" s="84"/>
      <c r="AT611" s="84"/>
      <c r="AU611" s="84"/>
      <c r="AV611" s="84"/>
      <c r="AY611" s="84"/>
      <c r="AZ611" s="84"/>
      <c r="BA611" s="84"/>
      <c r="BB611" s="84"/>
      <c r="BC611" s="84"/>
      <c r="BD611" s="84"/>
      <c r="BE611" s="84"/>
      <c r="BF611" s="942"/>
      <c r="BG611" s="942"/>
      <c r="BH611" s="942"/>
      <c r="BI611" s="84"/>
      <c r="BL611" s="84"/>
      <c r="BM611" s="84"/>
      <c r="BN611" s="84"/>
      <c r="BO611" s="84"/>
      <c r="BP611" s="84"/>
      <c r="BQ611" s="84"/>
      <c r="BR611" s="84"/>
      <c r="BS611" s="942"/>
      <c r="BT611" s="942"/>
      <c r="BU611" s="942"/>
      <c r="BV611" s="84"/>
    </row>
    <row r="612" spans="14:74" ht="14.25">
      <c r="N612" s="84"/>
      <c r="O612" s="84"/>
      <c r="P612" s="84"/>
      <c r="Q612" s="84"/>
      <c r="R612" s="84"/>
      <c r="S612" s="84"/>
      <c r="T612" s="84"/>
      <c r="U612" s="84"/>
      <c r="V612" s="84"/>
      <c r="W612" s="84"/>
      <c r="Y612" s="84"/>
      <c r="Z612" s="84"/>
      <c r="AA612" s="84"/>
      <c r="AB612" s="84"/>
      <c r="AC612" s="84"/>
      <c r="AD612" s="84"/>
      <c r="AE612" s="84"/>
      <c r="AF612" s="84"/>
      <c r="AG612" s="84"/>
      <c r="AH612" s="84"/>
      <c r="AI612" s="84"/>
      <c r="AL612" s="84"/>
      <c r="AM612" s="84"/>
      <c r="AN612" s="84"/>
      <c r="AO612" s="84"/>
      <c r="AP612" s="84"/>
      <c r="AQ612" s="84"/>
      <c r="AR612" s="84"/>
      <c r="AS612" s="84"/>
      <c r="AT612" s="84"/>
      <c r="AU612" s="84"/>
      <c r="AV612" s="84"/>
      <c r="AY612" s="84"/>
      <c r="AZ612" s="84"/>
      <c r="BA612" s="84"/>
      <c r="BB612" s="84"/>
      <c r="BC612" s="84"/>
      <c r="BD612" s="84"/>
      <c r="BE612" s="84"/>
      <c r="BF612" s="942"/>
      <c r="BG612" s="942"/>
      <c r="BH612" s="942"/>
      <c r="BI612" s="84"/>
      <c r="BL612" s="84"/>
      <c r="BM612" s="84"/>
      <c r="BN612" s="84"/>
      <c r="BO612" s="84"/>
      <c r="BP612" s="84"/>
      <c r="BQ612" s="84"/>
      <c r="BR612" s="84"/>
      <c r="BS612" s="942"/>
      <c r="BT612" s="942"/>
      <c r="BU612" s="942"/>
      <c r="BV612" s="84"/>
    </row>
    <row r="613" spans="14:74" ht="14.25">
      <c r="N613" s="84"/>
      <c r="O613" s="84"/>
      <c r="P613" s="84"/>
      <c r="Q613" s="84"/>
      <c r="R613" s="84"/>
      <c r="S613" s="84"/>
      <c r="T613" s="84"/>
      <c r="U613" s="84"/>
      <c r="V613" s="84"/>
      <c r="W613" s="84"/>
      <c r="Y613" s="84"/>
      <c r="Z613" s="84"/>
      <c r="AA613" s="84"/>
      <c r="AB613" s="84"/>
      <c r="AC613" s="84"/>
      <c r="AD613" s="84"/>
      <c r="AE613" s="84"/>
      <c r="AF613" s="84"/>
      <c r="AG613" s="84"/>
      <c r="AH613" s="84"/>
      <c r="AI613" s="84"/>
      <c r="AL613" s="84"/>
      <c r="AM613" s="84"/>
      <c r="AN613" s="84"/>
      <c r="AO613" s="84"/>
      <c r="AP613" s="84"/>
      <c r="AQ613" s="84"/>
      <c r="AR613" s="84"/>
      <c r="AS613" s="84"/>
      <c r="AT613" s="84"/>
      <c r="AU613" s="84"/>
      <c r="AV613" s="84"/>
      <c r="AY613" s="84"/>
      <c r="AZ613" s="84"/>
      <c r="BA613" s="84"/>
      <c r="BB613" s="84"/>
      <c r="BC613" s="84"/>
      <c r="BD613" s="84"/>
      <c r="BE613" s="84"/>
      <c r="BF613" s="942"/>
      <c r="BG613" s="942"/>
      <c r="BH613" s="942"/>
      <c r="BI613" s="84"/>
      <c r="BL613" s="84"/>
      <c r="BM613" s="84"/>
      <c r="BN613" s="84"/>
      <c r="BO613" s="84"/>
      <c r="BP613" s="84"/>
      <c r="BQ613" s="84"/>
      <c r="BR613" s="84"/>
      <c r="BS613" s="942"/>
      <c r="BT613" s="942"/>
      <c r="BU613" s="942"/>
      <c r="BV613" s="84"/>
    </row>
    <row r="614" spans="14:74" ht="14.25">
      <c r="N614" s="84"/>
      <c r="O614" s="84"/>
      <c r="P614" s="84"/>
      <c r="Q614" s="84"/>
      <c r="R614" s="84"/>
      <c r="S614" s="84"/>
      <c r="T614" s="84"/>
      <c r="U614" s="84"/>
      <c r="V614" s="84"/>
      <c r="W614" s="84"/>
      <c r="Y614" s="84"/>
      <c r="Z614" s="84"/>
      <c r="AA614" s="84"/>
      <c r="AB614" s="84"/>
      <c r="AC614" s="84"/>
      <c r="AD614" s="84"/>
      <c r="AE614" s="84"/>
      <c r="AF614" s="84"/>
      <c r="AG614" s="84"/>
      <c r="AH614" s="84"/>
      <c r="AI614" s="84"/>
      <c r="AL614" s="84"/>
      <c r="AM614" s="84"/>
      <c r="AN614" s="84"/>
      <c r="AO614" s="84"/>
      <c r="AP614" s="84"/>
      <c r="AQ614" s="84"/>
      <c r="AR614" s="84"/>
      <c r="AS614" s="84"/>
      <c r="AT614" s="84"/>
      <c r="AU614" s="84"/>
      <c r="AV614" s="84"/>
      <c r="AY614" s="84"/>
      <c r="AZ614" s="84"/>
      <c r="BA614" s="84"/>
      <c r="BB614" s="84"/>
      <c r="BC614" s="84"/>
      <c r="BD614" s="84"/>
      <c r="BE614" s="84"/>
      <c r="BF614" s="942"/>
      <c r="BG614" s="942"/>
      <c r="BH614" s="942"/>
      <c r="BI614" s="84"/>
      <c r="BL614" s="84"/>
      <c r="BM614" s="84"/>
      <c r="BN614" s="84"/>
      <c r="BO614" s="84"/>
      <c r="BP614" s="84"/>
      <c r="BQ614" s="84"/>
      <c r="BR614" s="84"/>
      <c r="BS614" s="942"/>
      <c r="BT614" s="942"/>
      <c r="BU614" s="942"/>
      <c r="BV614" s="84"/>
    </row>
    <row r="615" spans="14:74" ht="14.25">
      <c r="N615" s="84"/>
      <c r="O615" s="84"/>
      <c r="P615" s="84"/>
      <c r="Q615" s="84"/>
      <c r="R615" s="84"/>
      <c r="S615" s="84"/>
      <c r="T615" s="84"/>
      <c r="U615" s="84"/>
      <c r="V615" s="84"/>
      <c r="W615" s="84"/>
      <c r="Y615" s="84"/>
      <c r="Z615" s="84"/>
      <c r="AA615" s="84"/>
      <c r="AB615" s="84"/>
      <c r="AC615" s="84"/>
      <c r="AD615" s="84"/>
      <c r="AE615" s="84"/>
      <c r="AF615" s="84"/>
      <c r="AG615" s="84"/>
      <c r="AH615" s="84"/>
      <c r="AI615" s="84"/>
      <c r="AL615" s="84"/>
      <c r="AM615" s="84"/>
      <c r="AN615" s="84"/>
      <c r="AO615" s="84"/>
      <c r="AP615" s="84"/>
      <c r="AQ615" s="84"/>
      <c r="AR615" s="84"/>
      <c r="AS615" s="84"/>
      <c r="AT615" s="84"/>
      <c r="AU615" s="84"/>
      <c r="AV615" s="84"/>
      <c r="AY615" s="84"/>
      <c r="AZ615" s="84"/>
      <c r="BA615" s="84"/>
      <c r="BB615" s="84"/>
      <c r="BC615" s="84"/>
      <c r="BD615" s="84"/>
      <c r="BE615" s="84"/>
      <c r="BF615" s="942"/>
      <c r="BG615" s="942"/>
      <c r="BH615" s="942"/>
      <c r="BI615" s="84"/>
      <c r="BL615" s="84"/>
      <c r="BM615" s="84"/>
      <c r="BN615" s="84"/>
      <c r="BO615" s="84"/>
      <c r="BP615" s="84"/>
      <c r="BQ615" s="84"/>
      <c r="BR615" s="84"/>
      <c r="BS615" s="942"/>
      <c r="BT615" s="942"/>
      <c r="BU615" s="942"/>
      <c r="BV615" s="84"/>
    </row>
    <row r="616" spans="14:74" ht="14.25">
      <c r="N616" s="84"/>
      <c r="O616" s="84"/>
      <c r="P616" s="84"/>
      <c r="Q616" s="84"/>
      <c r="R616" s="84"/>
      <c r="S616" s="84"/>
      <c r="T616" s="84"/>
      <c r="U616" s="84"/>
      <c r="V616" s="84"/>
      <c r="W616" s="84"/>
      <c r="Y616" s="84"/>
      <c r="Z616" s="84"/>
      <c r="AA616" s="84"/>
      <c r="AB616" s="84"/>
      <c r="AC616" s="84"/>
      <c r="AD616" s="84"/>
      <c r="AE616" s="84"/>
      <c r="AF616" s="84"/>
      <c r="AG616" s="84"/>
      <c r="AH616" s="84"/>
      <c r="AI616" s="84"/>
      <c r="AL616" s="84"/>
      <c r="AM616" s="84"/>
      <c r="AN616" s="84"/>
      <c r="AO616" s="84"/>
      <c r="AP616" s="84"/>
      <c r="AQ616" s="84"/>
      <c r="AR616" s="84"/>
      <c r="AS616" s="84"/>
      <c r="AT616" s="84"/>
      <c r="AU616" s="84"/>
      <c r="AV616" s="84"/>
      <c r="AY616" s="84"/>
      <c r="AZ616" s="84"/>
      <c r="BA616" s="84"/>
      <c r="BB616" s="84"/>
      <c r="BC616" s="84"/>
      <c r="BD616" s="84"/>
      <c r="BE616" s="84"/>
      <c r="BF616" s="942"/>
      <c r="BG616" s="942"/>
      <c r="BH616" s="942"/>
      <c r="BI616" s="84"/>
      <c r="BL616" s="84"/>
      <c r="BM616" s="84"/>
      <c r="BN616" s="84"/>
      <c r="BO616" s="84"/>
      <c r="BP616" s="84"/>
      <c r="BQ616" s="84"/>
      <c r="BR616" s="84"/>
      <c r="BS616" s="942"/>
      <c r="BT616" s="942"/>
      <c r="BU616" s="942"/>
      <c r="BV616" s="84"/>
    </row>
    <row r="617" spans="14:74" ht="14.25">
      <c r="N617" s="84"/>
      <c r="O617" s="84"/>
      <c r="P617" s="84"/>
      <c r="Q617" s="84"/>
      <c r="R617" s="84"/>
      <c r="S617" s="84"/>
      <c r="T617" s="84"/>
      <c r="U617" s="84"/>
      <c r="V617" s="84"/>
      <c r="W617" s="84"/>
      <c r="Y617" s="84"/>
      <c r="Z617" s="84"/>
      <c r="AA617" s="84"/>
      <c r="AB617" s="84"/>
      <c r="AC617" s="84"/>
      <c r="AD617" s="84"/>
      <c r="AE617" s="84"/>
      <c r="AF617" s="84"/>
      <c r="AG617" s="84"/>
      <c r="AH617" s="84"/>
      <c r="AI617" s="84"/>
      <c r="AL617" s="84"/>
      <c r="AM617" s="84"/>
      <c r="AN617" s="84"/>
      <c r="AO617" s="84"/>
      <c r="AP617" s="84"/>
      <c r="AQ617" s="84"/>
      <c r="AR617" s="84"/>
      <c r="AS617" s="84"/>
      <c r="AT617" s="84"/>
      <c r="AU617" s="84"/>
      <c r="AV617" s="84"/>
      <c r="AY617" s="84"/>
      <c r="AZ617" s="84"/>
      <c r="BA617" s="84"/>
      <c r="BB617" s="84"/>
      <c r="BC617" s="84"/>
      <c r="BD617" s="84"/>
      <c r="BE617" s="84"/>
      <c r="BF617" s="942"/>
      <c r="BG617" s="942"/>
      <c r="BH617" s="942"/>
      <c r="BI617" s="84"/>
      <c r="BL617" s="84"/>
      <c r="BM617" s="84"/>
      <c r="BN617" s="84"/>
      <c r="BO617" s="84"/>
      <c r="BP617" s="84"/>
      <c r="BQ617" s="84"/>
      <c r="BR617" s="84"/>
      <c r="BS617" s="942"/>
      <c r="BT617" s="942"/>
      <c r="BU617" s="942"/>
      <c r="BV617" s="84"/>
    </row>
    <row r="618" spans="14:74" ht="14.25">
      <c r="N618" s="84"/>
      <c r="O618" s="84"/>
      <c r="P618" s="84"/>
      <c r="Q618" s="84"/>
      <c r="R618" s="84"/>
      <c r="S618" s="84"/>
      <c r="T618" s="84"/>
      <c r="U618" s="84"/>
      <c r="V618" s="84"/>
      <c r="W618" s="84"/>
      <c r="Y618" s="84"/>
      <c r="Z618" s="84"/>
      <c r="AA618" s="84"/>
      <c r="AB618" s="84"/>
      <c r="AC618" s="84"/>
      <c r="AD618" s="84"/>
      <c r="AE618" s="84"/>
      <c r="AF618" s="84"/>
      <c r="AG618" s="84"/>
      <c r="AH618" s="84"/>
      <c r="AI618" s="84"/>
      <c r="AL618" s="84"/>
      <c r="AM618" s="84"/>
      <c r="AN618" s="84"/>
      <c r="AO618" s="84"/>
      <c r="AP618" s="84"/>
      <c r="AQ618" s="84"/>
      <c r="AR618" s="84"/>
      <c r="AS618" s="84"/>
      <c r="AT618" s="84"/>
      <c r="AU618" s="84"/>
      <c r="AV618" s="84"/>
      <c r="AY618" s="84"/>
      <c r="AZ618" s="84"/>
      <c r="BA618" s="84"/>
      <c r="BB618" s="84"/>
      <c r="BC618" s="84"/>
      <c r="BD618" s="84"/>
      <c r="BE618" s="84"/>
      <c r="BF618" s="942"/>
      <c r="BG618" s="942"/>
      <c r="BH618" s="942"/>
      <c r="BI618" s="84"/>
      <c r="BL618" s="84"/>
      <c r="BM618" s="84"/>
      <c r="BN618" s="84"/>
      <c r="BO618" s="84"/>
      <c r="BP618" s="84"/>
      <c r="BQ618" s="84"/>
      <c r="BR618" s="84"/>
      <c r="BS618" s="942"/>
      <c r="BT618" s="942"/>
      <c r="BU618" s="942"/>
      <c r="BV618" s="84"/>
    </row>
    <row r="619" spans="14:74" ht="14.25">
      <c r="N619" s="84"/>
      <c r="O619" s="84"/>
      <c r="P619" s="84"/>
      <c r="Q619" s="84"/>
      <c r="R619" s="84"/>
      <c r="S619" s="84"/>
      <c r="T619" s="84"/>
      <c r="U619" s="84"/>
      <c r="V619" s="84"/>
      <c r="W619" s="84"/>
      <c r="Y619" s="84"/>
      <c r="Z619" s="84"/>
      <c r="AA619" s="84"/>
      <c r="AB619" s="84"/>
      <c r="AC619" s="84"/>
      <c r="AD619" s="84"/>
      <c r="AE619" s="84"/>
      <c r="AF619" s="84"/>
      <c r="AG619" s="84"/>
      <c r="AH619" s="84"/>
      <c r="AI619" s="84"/>
      <c r="AL619" s="84"/>
      <c r="AM619" s="84"/>
      <c r="AN619" s="84"/>
      <c r="AO619" s="84"/>
      <c r="AP619" s="84"/>
      <c r="AQ619" s="84"/>
      <c r="AR619" s="84"/>
      <c r="AS619" s="84"/>
      <c r="AT619" s="84"/>
      <c r="AU619" s="84"/>
      <c r="AV619" s="84"/>
      <c r="AY619" s="84"/>
      <c r="AZ619" s="84"/>
      <c r="BA619" s="84"/>
      <c r="BB619" s="84"/>
      <c r="BC619" s="84"/>
      <c r="BD619" s="84"/>
      <c r="BE619" s="84"/>
      <c r="BF619" s="942"/>
      <c r="BG619" s="942"/>
      <c r="BH619" s="942"/>
      <c r="BI619" s="84"/>
      <c r="BL619" s="84"/>
      <c r="BM619" s="84"/>
      <c r="BN619" s="84"/>
      <c r="BO619" s="84"/>
      <c r="BP619" s="84"/>
      <c r="BQ619" s="84"/>
      <c r="BR619" s="84"/>
      <c r="BS619" s="942"/>
      <c r="BT619" s="942"/>
      <c r="BU619" s="942"/>
      <c r="BV619" s="84"/>
    </row>
    <row r="620" spans="14:74" ht="14.25">
      <c r="N620" s="84"/>
      <c r="O620" s="84"/>
      <c r="P620" s="84"/>
      <c r="Q620" s="84"/>
      <c r="R620" s="84"/>
      <c r="S620" s="84"/>
      <c r="T620" s="84"/>
      <c r="U620" s="84"/>
      <c r="V620" s="84"/>
      <c r="W620" s="84"/>
      <c r="Y620" s="84"/>
      <c r="Z620" s="84"/>
      <c r="AA620" s="84"/>
      <c r="AB620" s="84"/>
      <c r="AC620" s="84"/>
      <c r="AD620" s="84"/>
      <c r="AE620" s="84"/>
      <c r="AF620" s="84"/>
      <c r="AG620" s="84"/>
      <c r="AH620" s="84"/>
      <c r="AI620" s="84"/>
      <c r="AL620" s="84"/>
      <c r="AM620" s="84"/>
      <c r="AN620" s="84"/>
      <c r="AO620" s="84"/>
      <c r="AP620" s="84"/>
      <c r="AQ620" s="84"/>
      <c r="AR620" s="84"/>
      <c r="AS620" s="84"/>
      <c r="AT620" s="84"/>
      <c r="AU620" s="84"/>
      <c r="AV620" s="84"/>
      <c r="AY620" s="84"/>
      <c r="AZ620" s="84"/>
      <c r="BA620" s="84"/>
      <c r="BB620" s="84"/>
      <c r="BC620" s="84"/>
      <c r="BD620" s="84"/>
      <c r="BE620" s="84"/>
      <c r="BF620" s="942"/>
      <c r="BG620" s="942"/>
      <c r="BH620" s="942"/>
      <c r="BI620" s="84"/>
      <c r="BL620" s="84"/>
      <c r="BM620" s="84"/>
      <c r="BN620" s="84"/>
      <c r="BO620" s="84"/>
      <c r="BP620" s="84"/>
      <c r="BQ620" s="84"/>
      <c r="BR620" s="84"/>
      <c r="BS620" s="942"/>
      <c r="BT620" s="942"/>
      <c r="BU620" s="942"/>
      <c r="BV620" s="84"/>
    </row>
    <row r="621" spans="14:74" ht="14.25">
      <c r="N621" s="84"/>
      <c r="O621" s="84"/>
      <c r="P621" s="84"/>
      <c r="Q621" s="84"/>
      <c r="R621" s="84"/>
      <c r="S621" s="84"/>
      <c r="T621" s="84"/>
      <c r="U621" s="84"/>
      <c r="V621" s="84"/>
      <c r="W621" s="84"/>
      <c r="Y621" s="84"/>
      <c r="Z621" s="84"/>
      <c r="AA621" s="84"/>
      <c r="AB621" s="84"/>
      <c r="AC621" s="84"/>
      <c r="AD621" s="84"/>
      <c r="AE621" s="84"/>
      <c r="AF621" s="84"/>
      <c r="AG621" s="84"/>
      <c r="AH621" s="84"/>
      <c r="AI621" s="84"/>
      <c r="AL621" s="84"/>
      <c r="AM621" s="84"/>
      <c r="AN621" s="84"/>
      <c r="AO621" s="84"/>
      <c r="AP621" s="84"/>
      <c r="AQ621" s="84"/>
      <c r="AR621" s="84"/>
      <c r="AS621" s="84"/>
      <c r="AT621" s="84"/>
      <c r="AU621" s="84"/>
      <c r="AV621" s="84"/>
      <c r="AY621" s="84"/>
      <c r="AZ621" s="84"/>
      <c r="BA621" s="84"/>
      <c r="BB621" s="84"/>
      <c r="BC621" s="84"/>
      <c r="BD621" s="84"/>
      <c r="BE621" s="84"/>
      <c r="BF621" s="942"/>
      <c r="BG621" s="942"/>
      <c r="BH621" s="942"/>
      <c r="BI621" s="84"/>
      <c r="BL621" s="84"/>
      <c r="BM621" s="84"/>
      <c r="BN621" s="84"/>
      <c r="BO621" s="84"/>
      <c r="BP621" s="84"/>
      <c r="BQ621" s="84"/>
      <c r="BR621" s="84"/>
      <c r="BS621" s="942"/>
      <c r="BT621" s="942"/>
      <c r="BU621" s="942"/>
      <c r="BV621" s="84"/>
    </row>
    <row r="622" spans="14:74" ht="14.25">
      <c r="N622" s="84"/>
      <c r="O622" s="84"/>
      <c r="P622" s="84"/>
      <c r="Q622" s="84"/>
      <c r="R622" s="84"/>
      <c r="S622" s="84"/>
      <c r="T622" s="84"/>
      <c r="U622" s="84"/>
      <c r="V622" s="84"/>
      <c r="W622" s="84"/>
      <c r="Y622" s="84"/>
      <c r="Z622" s="84"/>
      <c r="AA622" s="84"/>
      <c r="AB622" s="84"/>
      <c r="AC622" s="84"/>
      <c r="AD622" s="84"/>
      <c r="AE622" s="84"/>
      <c r="AF622" s="84"/>
      <c r="AG622" s="84"/>
      <c r="AH622" s="84"/>
      <c r="AI622" s="84"/>
      <c r="AL622" s="84"/>
      <c r="AM622" s="84"/>
      <c r="AN622" s="84"/>
      <c r="AO622" s="84"/>
      <c r="AP622" s="84"/>
      <c r="AQ622" s="84"/>
      <c r="AR622" s="84"/>
      <c r="AS622" s="84"/>
      <c r="AT622" s="84"/>
      <c r="AU622" s="84"/>
      <c r="AV622" s="84"/>
      <c r="AY622" s="84"/>
      <c r="AZ622" s="84"/>
      <c r="BA622" s="84"/>
      <c r="BB622" s="84"/>
      <c r="BC622" s="84"/>
      <c r="BD622" s="84"/>
      <c r="BE622" s="84"/>
      <c r="BF622" s="942"/>
      <c r="BG622" s="942"/>
      <c r="BH622" s="942"/>
      <c r="BI622" s="84"/>
      <c r="BL622" s="84"/>
      <c r="BM622" s="84"/>
      <c r="BN622" s="84"/>
      <c r="BO622" s="84"/>
      <c r="BP622" s="84"/>
      <c r="BQ622" s="84"/>
      <c r="BR622" s="84"/>
      <c r="BS622" s="942"/>
      <c r="BT622" s="942"/>
      <c r="BU622" s="942"/>
      <c r="BV622" s="84"/>
    </row>
    <row r="623" spans="14:74" ht="14.25">
      <c r="N623" s="84"/>
      <c r="O623" s="84"/>
      <c r="P623" s="84"/>
      <c r="Q623" s="84"/>
      <c r="R623" s="84"/>
      <c r="S623" s="84"/>
      <c r="T623" s="84"/>
      <c r="U623" s="84"/>
      <c r="V623" s="84"/>
      <c r="W623" s="84"/>
      <c r="Y623" s="84"/>
      <c r="Z623" s="84"/>
      <c r="AA623" s="84"/>
      <c r="AB623" s="84"/>
      <c r="AC623" s="84"/>
      <c r="AD623" s="84"/>
      <c r="AE623" s="84"/>
      <c r="AF623" s="84"/>
      <c r="AG623" s="84"/>
      <c r="AH623" s="84"/>
      <c r="AI623" s="84"/>
      <c r="AL623" s="84"/>
      <c r="AM623" s="84"/>
      <c r="AN623" s="84"/>
      <c r="AO623" s="84"/>
      <c r="AP623" s="84"/>
      <c r="AQ623" s="84"/>
      <c r="AR623" s="84"/>
      <c r="AS623" s="84"/>
      <c r="AT623" s="84"/>
      <c r="AU623" s="84"/>
      <c r="AV623" s="84"/>
      <c r="AY623" s="84"/>
      <c r="AZ623" s="84"/>
      <c r="BA623" s="84"/>
      <c r="BB623" s="84"/>
      <c r="BC623" s="84"/>
      <c r="BD623" s="84"/>
      <c r="BE623" s="84"/>
      <c r="BF623" s="942"/>
      <c r="BG623" s="942"/>
      <c r="BH623" s="942"/>
      <c r="BI623" s="84"/>
      <c r="BL623" s="84"/>
      <c r="BM623" s="84"/>
      <c r="BN623" s="84"/>
      <c r="BO623" s="84"/>
      <c r="BP623" s="84"/>
      <c r="BQ623" s="84"/>
      <c r="BR623" s="84"/>
      <c r="BS623" s="942"/>
      <c r="BT623" s="942"/>
      <c r="BU623" s="942"/>
      <c r="BV623" s="84"/>
    </row>
    <row r="624" spans="14:74" ht="14.25">
      <c r="N624" s="84"/>
      <c r="O624" s="84"/>
      <c r="P624" s="84"/>
      <c r="Q624" s="84"/>
      <c r="R624" s="84"/>
      <c r="S624" s="84"/>
      <c r="T624" s="84"/>
      <c r="U624" s="84"/>
      <c r="V624" s="84"/>
      <c r="W624" s="84"/>
      <c r="Y624" s="84"/>
      <c r="Z624" s="84"/>
      <c r="AA624" s="84"/>
      <c r="AB624" s="84"/>
      <c r="AC624" s="84"/>
      <c r="AD624" s="84"/>
      <c r="AE624" s="84"/>
      <c r="AF624" s="84"/>
      <c r="AG624" s="84"/>
      <c r="AH624" s="84"/>
      <c r="AI624" s="84"/>
      <c r="AL624" s="84"/>
      <c r="AM624" s="84"/>
      <c r="AN624" s="84"/>
      <c r="AO624" s="84"/>
      <c r="AP624" s="84"/>
      <c r="AQ624" s="84"/>
      <c r="AR624" s="84"/>
      <c r="AS624" s="84"/>
      <c r="AT624" s="84"/>
      <c r="AU624" s="84"/>
      <c r="AV624" s="84"/>
      <c r="AY624" s="84"/>
      <c r="AZ624" s="84"/>
      <c r="BA624" s="84"/>
      <c r="BB624" s="84"/>
      <c r="BC624" s="84"/>
      <c r="BD624" s="84"/>
      <c r="BE624" s="84"/>
      <c r="BF624" s="942"/>
      <c r="BG624" s="942"/>
      <c r="BH624" s="942"/>
      <c r="BI624" s="84"/>
      <c r="BL624" s="84"/>
      <c r="BM624" s="84"/>
      <c r="BN624" s="84"/>
      <c r="BO624" s="84"/>
      <c r="BP624" s="84"/>
      <c r="BQ624" s="84"/>
      <c r="BR624" s="84"/>
      <c r="BS624" s="942"/>
      <c r="BT624" s="942"/>
      <c r="BU624" s="942"/>
      <c r="BV624" s="84"/>
    </row>
    <row r="625" spans="14:74" ht="14.25">
      <c r="N625" s="84"/>
      <c r="O625" s="84"/>
      <c r="P625" s="84"/>
      <c r="Q625" s="84"/>
      <c r="R625" s="84"/>
      <c r="S625" s="84"/>
      <c r="T625" s="84"/>
      <c r="U625" s="84"/>
      <c r="V625" s="84"/>
      <c r="W625" s="84"/>
      <c r="Y625" s="84"/>
      <c r="Z625" s="84"/>
      <c r="AA625" s="84"/>
      <c r="AB625" s="84"/>
      <c r="AC625" s="84"/>
      <c r="AD625" s="84"/>
      <c r="AE625" s="84"/>
      <c r="AF625" s="84"/>
      <c r="AG625" s="84"/>
      <c r="AH625" s="84"/>
      <c r="AI625" s="84"/>
      <c r="AL625" s="84"/>
      <c r="AM625" s="84"/>
      <c r="AN625" s="84"/>
      <c r="AO625" s="84"/>
      <c r="AP625" s="84"/>
      <c r="AQ625" s="84"/>
      <c r="AR625" s="84"/>
      <c r="AS625" s="84"/>
      <c r="AT625" s="84"/>
      <c r="AU625" s="84"/>
      <c r="AV625" s="84"/>
      <c r="AY625" s="84"/>
      <c r="AZ625" s="84"/>
      <c r="BA625" s="84"/>
      <c r="BB625" s="84"/>
      <c r="BC625" s="84"/>
      <c r="BD625" s="84"/>
      <c r="BE625" s="84"/>
      <c r="BF625" s="942"/>
      <c r="BG625" s="942"/>
      <c r="BH625" s="942"/>
      <c r="BI625" s="84"/>
      <c r="BL625" s="84"/>
      <c r="BM625" s="84"/>
      <c r="BN625" s="84"/>
      <c r="BO625" s="84"/>
      <c r="BP625" s="84"/>
      <c r="BQ625" s="84"/>
      <c r="BR625" s="84"/>
      <c r="BS625" s="942"/>
      <c r="BT625" s="942"/>
      <c r="BU625" s="942"/>
      <c r="BV625" s="84"/>
    </row>
    <row r="626" spans="14:74" ht="14.25">
      <c r="N626" s="84"/>
      <c r="O626" s="84"/>
      <c r="P626" s="84"/>
      <c r="Q626" s="84"/>
      <c r="R626" s="84"/>
      <c r="S626" s="84"/>
      <c r="T626" s="84"/>
      <c r="U626" s="84"/>
      <c r="V626" s="84"/>
      <c r="W626" s="84"/>
      <c r="Y626" s="84"/>
      <c r="Z626" s="84"/>
      <c r="AA626" s="84"/>
      <c r="AB626" s="84"/>
      <c r="AC626" s="84"/>
      <c r="AD626" s="84"/>
      <c r="AE626" s="84"/>
      <c r="AF626" s="84"/>
      <c r="AG626" s="84"/>
      <c r="AH626" s="84"/>
      <c r="AI626" s="84"/>
      <c r="AL626" s="84"/>
      <c r="AM626" s="84"/>
      <c r="AN626" s="84"/>
      <c r="AO626" s="84"/>
      <c r="AP626" s="84"/>
      <c r="AQ626" s="84"/>
      <c r="AR626" s="84"/>
      <c r="AS626" s="84"/>
      <c r="AT626" s="84"/>
      <c r="AU626" s="84"/>
      <c r="AV626" s="84"/>
      <c r="AY626" s="84"/>
      <c r="AZ626" s="84"/>
      <c r="BA626" s="84"/>
      <c r="BB626" s="84"/>
      <c r="BC626" s="84"/>
      <c r="BD626" s="84"/>
      <c r="BE626" s="84"/>
      <c r="BF626" s="942"/>
      <c r="BG626" s="942"/>
      <c r="BH626" s="942"/>
      <c r="BI626" s="84"/>
      <c r="BL626" s="84"/>
      <c r="BM626" s="84"/>
      <c r="BN626" s="84"/>
      <c r="BO626" s="84"/>
      <c r="BP626" s="84"/>
      <c r="BQ626" s="84"/>
      <c r="BR626" s="84"/>
      <c r="BS626" s="942"/>
      <c r="BT626" s="942"/>
      <c r="BU626" s="942"/>
      <c r="BV626" s="84"/>
    </row>
    <row r="627" spans="14:74" ht="14.25">
      <c r="N627" s="84"/>
      <c r="O627" s="84"/>
      <c r="P627" s="84"/>
      <c r="Q627" s="84"/>
      <c r="R627" s="84"/>
      <c r="S627" s="84"/>
      <c r="T627" s="84"/>
      <c r="U627" s="84"/>
      <c r="V627" s="84"/>
      <c r="W627" s="84"/>
      <c r="Y627" s="84"/>
      <c r="Z627" s="84"/>
      <c r="AA627" s="84"/>
      <c r="AB627" s="84"/>
      <c r="AC627" s="84"/>
      <c r="AD627" s="84"/>
      <c r="AE627" s="84"/>
      <c r="AF627" s="84"/>
      <c r="AG627" s="84"/>
      <c r="AH627" s="84"/>
      <c r="AI627" s="84"/>
      <c r="AL627" s="84"/>
      <c r="AM627" s="84"/>
      <c r="AN627" s="84"/>
      <c r="AO627" s="84"/>
      <c r="AP627" s="84"/>
      <c r="AQ627" s="84"/>
      <c r="AR627" s="84"/>
      <c r="AS627" s="84"/>
      <c r="AT627" s="84"/>
      <c r="AU627" s="84"/>
      <c r="AV627" s="84"/>
      <c r="AY627" s="84"/>
      <c r="AZ627" s="84"/>
      <c r="BA627" s="84"/>
      <c r="BB627" s="84"/>
      <c r="BC627" s="84"/>
      <c r="BD627" s="84"/>
      <c r="BE627" s="84"/>
      <c r="BF627" s="942"/>
      <c r="BG627" s="942"/>
      <c r="BH627" s="942"/>
      <c r="BI627" s="84"/>
      <c r="BL627" s="84"/>
      <c r="BM627" s="84"/>
      <c r="BN627" s="84"/>
      <c r="BO627" s="84"/>
      <c r="BP627" s="84"/>
      <c r="BQ627" s="84"/>
      <c r="BR627" s="84"/>
      <c r="BS627" s="942"/>
      <c r="BT627" s="942"/>
      <c r="BU627" s="942"/>
      <c r="BV627" s="84"/>
    </row>
    <row r="628" spans="14:74" ht="14.25">
      <c r="N628" s="84"/>
      <c r="O628" s="84"/>
      <c r="P628" s="84"/>
      <c r="Q628" s="84"/>
      <c r="R628" s="84"/>
      <c r="S628" s="84"/>
      <c r="T628" s="84"/>
      <c r="U628" s="84"/>
      <c r="V628" s="84"/>
      <c r="W628" s="84"/>
      <c r="Y628" s="84"/>
      <c r="Z628" s="84"/>
      <c r="AA628" s="84"/>
      <c r="AB628" s="84"/>
      <c r="AC628" s="84"/>
      <c r="AD628" s="84"/>
      <c r="AE628" s="84"/>
      <c r="AF628" s="84"/>
      <c r="AG628" s="84"/>
      <c r="AH628" s="84"/>
      <c r="AI628" s="84"/>
      <c r="AL628" s="84"/>
      <c r="AM628" s="84"/>
      <c r="AN628" s="84"/>
      <c r="AO628" s="84"/>
      <c r="AP628" s="84"/>
      <c r="AQ628" s="84"/>
      <c r="AR628" s="84"/>
      <c r="AS628" s="84"/>
      <c r="AT628" s="84"/>
      <c r="AU628" s="84"/>
      <c r="AV628" s="84"/>
      <c r="AY628" s="84"/>
      <c r="AZ628" s="84"/>
      <c r="BA628" s="84"/>
      <c r="BB628" s="84"/>
      <c r="BC628" s="84"/>
      <c r="BD628" s="84"/>
      <c r="BE628" s="84"/>
      <c r="BF628" s="942"/>
      <c r="BG628" s="942"/>
      <c r="BH628" s="942"/>
      <c r="BI628" s="84"/>
      <c r="BL628" s="84"/>
      <c r="BM628" s="84"/>
      <c r="BN628" s="84"/>
      <c r="BO628" s="84"/>
      <c r="BP628" s="84"/>
      <c r="BQ628" s="84"/>
      <c r="BR628" s="84"/>
      <c r="BS628" s="942"/>
      <c r="BT628" s="942"/>
      <c r="BU628" s="942"/>
      <c r="BV628" s="84"/>
    </row>
    <row r="629" spans="14:74" ht="14.25">
      <c r="N629" s="84"/>
      <c r="O629" s="84"/>
      <c r="P629" s="84"/>
      <c r="Q629" s="84"/>
      <c r="R629" s="84"/>
      <c r="S629" s="84"/>
      <c r="T629" s="84"/>
      <c r="U629" s="84"/>
      <c r="V629" s="84"/>
      <c r="W629" s="84"/>
      <c r="Y629" s="84"/>
      <c r="Z629" s="84"/>
      <c r="AA629" s="84"/>
      <c r="AB629" s="84"/>
      <c r="AC629" s="84"/>
      <c r="AD629" s="84"/>
      <c r="AE629" s="84"/>
      <c r="AF629" s="84"/>
      <c r="AG629" s="84"/>
      <c r="AH629" s="84"/>
      <c r="AI629" s="84"/>
      <c r="AL629" s="84"/>
      <c r="AM629" s="84"/>
      <c r="AN629" s="84"/>
      <c r="AO629" s="84"/>
      <c r="AP629" s="84"/>
      <c r="AQ629" s="84"/>
      <c r="AR629" s="84"/>
      <c r="AS629" s="84"/>
      <c r="AT629" s="84"/>
      <c r="AU629" s="84"/>
      <c r="AV629" s="84"/>
      <c r="AY629" s="84"/>
      <c r="AZ629" s="84"/>
      <c r="BA629" s="84"/>
      <c r="BB629" s="84"/>
      <c r="BC629" s="84"/>
      <c r="BD629" s="84"/>
      <c r="BE629" s="84"/>
      <c r="BF629" s="942"/>
      <c r="BG629" s="942"/>
      <c r="BH629" s="942"/>
      <c r="BI629" s="84"/>
      <c r="BL629" s="84"/>
      <c r="BM629" s="84"/>
      <c r="BN629" s="84"/>
      <c r="BO629" s="84"/>
      <c r="BP629" s="84"/>
      <c r="BQ629" s="84"/>
      <c r="BR629" s="84"/>
      <c r="BS629" s="942"/>
      <c r="BT629" s="942"/>
      <c r="BU629" s="942"/>
      <c r="BV629" s="84"/>
    </row>
    <row r="630" spans="14:74" ht="14.25">
      <c r="N630" s="84"/>
      <c r="O630" s="84"/>
      <c r="P630" s="84"/>
      <c r="Q630" s="84"/>
      <c r="R630" s="84"/>
      <c r="S630" s="84"/>
      <c r="T630" s="84"/>
      <c r="U630" s="84"/>
      <c r="V630" s="84"/>
      <c r="W630" s="84"/>
      <c r="Y630" s="84"/>
      <c r="Z630" s="84"/>
      <c r="AA630" s="84"/>
      <c r="AB630" s="84"/>
      <c r="AC630" s="84"/>
      <c r="AD630" s="84"/>
      <c r="AE630" s="84"/>
      <c r="AF630" s="84"/>
      <c r="AG630" s="84"/>
      <c r="AH630" s="84"/>
      <c r="AI630" s="84"/>
      <c r="AL630" s="84"/>
      <c r="AM630" s="84"/>
      <c r="AN630" s="84"/>
      <c r="AO630" s="84"/>
      <c r="AP630" s="84"/>
      <c r="AQ630" s="84"/>
      <c r="AR630" s="84"/>
      <c r="AS630" s="84"/>
      <c r="AT630" s="84"/>
      <c r="AU630" s="84"/>
      <c r="AV630" s="84"/>
      <c r="AY630" s="84"/>
      <c r="AZ630" s="84"/>
      <c r="BA630" s="84"/>
      <c r="BB630" s="84"/>
      <c r="BC630" s="84"/>
      <c r="BD630" s="84"/>
      <c r="BE630" s="84"/>
      <c r="BF630" s="942"/>
      <c r="BG630" s="942"/>
      <c r="BH630" s="942"/>
      <c r="BI630" s="84"/>
      <c r="BL630" s="84"/>
      <c r="BM630" s="84"/>
      <c r="BN630" s="84"/>
      <c r="BO630" s="84"/>
      <c r="BP630" s="84"/>
      <c r="BQ630" s="84"/>
      <c r="BR630" s="84"/>
      <c r="BS630" s="942"/>
      <c r="BT630" s="942"/>
      <c r="BU630" s="942"/>
      <c r="BV630" s="84"/>
    </row>
    <row r="631" spans="14:74" ht="14.25">
      <c r="N631" s="84"/>
      <c r="O631" s="84"/>
      <c r="P631" s="84"/>
      <c r="Q631" s="84"/>
      <c r="R631" s="84"/>
      <c r="S631" s="84"/>
      <c r="T631" s="84"/>
      <c r="U631" s="84"/>
      <c r="V631" s="84"/>
      <c r="W631" s="84"/>
      <c r="Y631" s="84"/>
      <c r="Z631" s="84"/>
      <c r="AA631" s="84"/>
      <c r="AB631" s="84"/>
      <c r="AC631" s="84"/>
      <c r="AD631" s="84"/>
      <c r="AE631" s="84"/>
      <c r="AF631" s="84"/>
      <c r="AG631" s="84"/>
      <c r="AH631" s="84"/>
      <c r="AI631" s="84"/>
      <c r="AL631" s="84"/>
      <c r="AM631" s="84"/>
      <c r="AN631" s="84"/>
      <c r="AO631" s="84"/>
      <c r="AP631" s="84"/>
      <c r="AQ631" s="84"/>
      <c r="AR631" s="84"/>
      <c r="AS631" s="84"/>
      <c r="AT631" s="84"/>
      <c r="AU631" s="84"/>
      <c r="AV631" s="84"/>
      <c r="AY631" s="84"/>
      <c r="AZ631" s="84"/>
      <c r="BA631" s="84"/>
      <c r="BB631" s="84"/>
      <c r="BC631" s="84"/>
      <c r="BD631" s="84"/>
      <c r="BE631" s="84"/>
      <c r="BF631" s="942"/>
      <c r="BG631" s="942"/>
      <c r="BH631" s="942"/>
      <c r="BI631" s="84"/>
      <c r="BL631" s="84"/>
      <c r="BM631" s="84"/>
      <c r="BN631" s="84"/>
      <c r="BO631" s="84"/>
      <c r="BP631" s="84"/>
      <c r="BQ631" s="84"/>
      <c r="BR631" s="84"/>
      <c r="BS631" s="942"/>
      <c r="BT631" s="942"/>
      <c r="BU631" s="942"/>
      <c r="BV631" s="84"/>
    </row>
    <row r="632" spans="14:74" ht="14.25">
      <c r="N632" s="84"/>
      <c r="O632" s="84"/>
      <c r="P632" s="84"/>
      <c r="Q632" s="84"/>
      <c r="R632" s="84"/>
      <c r="S632" s="84"/>
      <c r="T632" s="84"/>
      <c r="U632" s="84"/>
      <c r="V632" s="84"/>
      <c r="W632" s="84"/>
      <c r="Y632" s="84"/>
      <c r="Z632" s="84"/>
      <c r="AA632" s="84"/>
      <c r="AB632" s="84"/>
      <c r="AC632" s="84"/>
      <c r="AD632" s="84"/>
      <c r="AE632" s="84"/>
      <c r="AF632" s="84"/>
      <c r="AG632" s="84"/>
      <c r="AH632" s="84"/>
      <c r="AI632" s="84"/>
      <c r="AL632" s="84"/>
      <c r="AM632" s="84"/>
      <c r="AN632" s="84"/>
      <c r="AO632" s="84"/>
      <c r="AP632" s="84"/>
      <c r="AQ632" s="84"/>
      <c r="AR632" s="84"/>
      <c r="AS632" s="84"/>
      <c r="AT632" s="84"/>
      <c r="AU632" s="84"/>
      <c r="AV632" s="84"/>
      <c r="AY632" s="84"/>
      <c r="AZ632" s="84"/>
      <c r="BA632" s="84"/>
      <c r="BB632" s="84"/>
      <c r="BC632" s="84"/>
      <c r="BD632" s="84"/>
      <c r="BE632" s="84"/>
      <c r="BF632" s="942"/>
      <c r="BG632" s="942"/>
      <c r="BH632" s="942"/>
      <c r="BI632" s="84"/>
      <c r="BL632" s="84"/>
      <c r="BM632" s="84"/>
      <c r="BN632" s="84"/>
      <c r="BO632" s="84"/>
      <c r="BP632" s="84"/>
      <c r="BQ632" s="84"/>
      <c r="BR632" s="84"/>
      <c r="BS632" s="942"/>
      <c r="BT632" s="942"/>
      <c r="BU632" s="942"/>
      <c r="BV632" s="84"/>
    </row>
    <row r="633" spans="14:74" ht="14.25">
      <c r="N633" s="84"/>
      <c r="O633" s="84"/>
      <c r="P633" s="84"/>
      <c r="Q633" s="84"/>
      <c r="R633" s="84"/>
      <c r="S633" s="84"/>
      <c r="T633" s="84"/>
      <c r="U633" s="84"/>
      <c r="V633" s="84"/>
      <c r="W633" s="84"/>
      <c r="Y633" s="84"/>
      <c r="Z633" s="84"/>
      <c r="AA633" s="84"/>
      <c r="AB633" s="84"/>
      <c r="AC633" s="84"/>
      <c r="AD633" s="84"/>
      <c r="AE633" s="84"/>
      <c r="AF633" s="84"/>
      <c r="AG633" s="84"/>
      <c r="AH633" s="84"/>
      <c r="AI633" s="84"/>
      <c r="AL633" s="84"/>
      <c r="AM633" s="84"/>
      <c r="AN633" s="84"/>
      <c r="AO633" s="84"/>
      <c r="AP633" s="84"/>
      <c r="AQ633" s="84"/>
      <c r="AR633" s="84"/>
      <c r="AS633" s="84"/>
      <c r="AT633" s="84"/>
      <c r="AU633" s="84"/>
      <c r="AV633" s="84"/>
      <c r="AY633" s="84"/>
      <c r="AZ633" s="84"/>
      <c r="BA633" s="84"/>
      <c r="BB633" s="84"/>
      <c r="BC633" s="84"/>
      <c r="BD633" s="84"/>
      <c r="BE633" s="84"/>
      <c r="BF633" s="942"/>
      <c r="BG633" s="942"/>
      <c r="BH633" s="942"/>
      <c r="BI633" s="84"/>
      <c r="BL633" s="84"/>
      <c r="BM633" s="84"/>
      <c r="BN633" s="84"/>
      <c r="BO633" s="84"/>
      <c r="BP633" s="84"/>
      <c r="BQ633" s="84"/>
      <c r="BR633" s="84"/>
      <c r="BS633" s="942"/>
      <c r="BT633" s="942"/>
      <c r="BU633" s="942"/>
      <c r="BV633" s="84"/>
    </row>
    <row r="634" spans="14:74" ht="14.25">
      <c r="N634" s="84"/>
      <c r="O634" s="84"/>
      <c r="P634" s="84"/>
      <c r="Q634" s="84"/>
      <c r="R634" s="84"/>
      <c r="S634" s="84"/>
      <c r="T634" s="84"/>
      <c r="U634" s="84"/>
      <c r="V634" s="84"/>
      <c r="W634" s="84"/>
      <c r="Y634" s="84"/>
      <c r="Z634" s="84"/>
      <c r="AA634" s="84"/>
      <c r="AB634" s="84"/>
      <c r="AC634" s="84"/>
      <c r="AD634" s="84"/>
      <c r="AE634" s="84"/>
      <c r="AF634" s="84"/>
      <c r="AG634" s="84"/>
      <c r="AH634" s="84"/>
      <c r="AI634" s="84"/>
      <c r="AL634" s="84"/>
      <c r="AM634" s="84"/>
      <c r="AN634" s="84"/>
      <c r="AO634" s="84"/>
      <c r="AP634" s="84"/>
      <c r="AQ634" s="84"/>
      <c r="AR634" s="84"/>
      <c r="AS634" s="84"/>
      <c r="AT634" s="84"/>
      <c r="AU634" s="84"/>
      <c r="AV634" s="84"/>
      <c r="AY634" s="84"/>
      <c r="AZ634" s="84"/>
      <c r="BA634" s="84"/>
      <c r="BB634" s="84"/>
      <c r="BC634" s="84"/>
      <c r="BD634" s="84"/>
      <c r="BE634" s="84"/>
      <c r="BF634" s="942"/>
      <c r="BG634" s="942"/>
      <c r="BH634" s="942"/>
      <c r="BI634" s="84"/>
      <c r="BL634" s="84"/>
      <c r="BM634" s="84"/>
      <c r="BN634" s="84"/>
      <c r="BO634" s="84"/>
      <c r="BP634" s="84"/>
      <c r="BQ634" s="84"/>
      <c r="BR634" s="84"/>
      <c r="BS634" s="942"/>
      <c r="BT634" s="942"/>
      <c r="BU634" s="942"/>
      <c r="BV634" s="84"/>
    </row>
    <row r="635" spans="14:74" ht="14.25">
      <c r="N635" s="84"/>
      <c r="O635" s="84"/>
      <c r="P635" s="84"/>
      <c r="Q635" s="84"/>
      <c r="R635" s="84"/>
      <c r="S635" s="84"/>
      <c r="T635" s="84"/>
      <c r="U635" s="84"/>
      <c r="V635" s="84"/>
      <c r="W635" s="84"/>
      <c r="Y635" s="84"/>
      <c r="Z635" s="84"/>
      <c r="AA635" s="84"/>
      <c r="AB635" s="84"/>
      <c r="AC635" s="84"/>
      <c r="AD635" s="84"/>
      <c r="AE635" s="84"/>
      <c r="AF635" s="84"/>
      <c r="AG635" s="84"/>
      <c r="AH635" s="84"/>
      <c r="AI635" s="84"/>
      <c r="AL635" s="84"/>
      <c r="AM635" s="84"/>
      <c r="AN635" s="84"/>
      <c r="AO635" s="84"/>
      <c r="AP635" s="84"/>
      <c r="AQ635" s="84"/>
      <c r="AR635" s="84"/>
      <c r="AS635" s="84"/>
      <c r="AT635" s="84"/>
      <c r="AU635" s="84"/>
      <c r="AV635" s="84"/>
      <c r="AY635" s="84"/>
      <c r="AZ635" s="84"/>
      <c r="BA635" s="84"/>
      <c r="BB635" s="84"/>
      <c r="BC635" s="84"/>
      <c r="BD635" s="84"/>
      <c r="BE635" s="84"/>
      <c r="BF635" s="942"/>
      <c r="BG635" s="942"/>
      <c r="BH635" s="942"/>
      <c r="BI635" s="84"/>
      <c r="BL635" s="84"/>
      <c r="BM635" s="84"/>
      <c r="BN635" s="84"/>
      <c r="BO635" s="84"/>
      <c r="BP635" s="84"/>
      <c r="BQ635" s="84"/>
      <c r="BR635" s="84"/>
      <c r="BS635" s="942"/>
      <c r="BT635" s="942"/>
      <c r="BU635" s="942"/>
      <c r="BV635" s="84"/>
    </row>
    <row r="636" spans="14:74" ht="14.25">
      <c r="N636" s="84"/>
      <c r="O636" s="84"/>
      <c r="P636" s="84"/>
      <c r="Q636" s="84"/>
      <c r="R636" s="84"/>
      <c r="S636" s="84"/>
      <c r="T636" s="84"/>
      <c r="U636" s="84"/>
      <c r="V636" s="84"/>
      <c r="W636" s="84"/>
      <c r="Y636" s="84"/>
      <c r="Z636" s="84"/>
      <c r="AA636" s="84"/>
      <c r="AB636" s="84"/>
      <c r="AC636" s="84"/>
      <c r="AD636" s="84"/>
      <c r="AE636" s="84"/>
      <c r="AF636" s="84"/>
      <c r="AG636" s="84"/>
      <c r="AH636" s="84"/>
      <c r="AI636" s="84"/>
      <c r="AL636" s="84"/>
      <c r="AM636" s="84"/>
      <c r="AN636" s="84"/>
      <c r="AO636" s="84"/>
      <c r="AP636" s="84"/>
      <c r="AQ636" s="84"/>
      <c r="AR636" s="84"/>
      <c r="AS636" s="84"/>
      <c r="AT636" s="84"/>
      <c r="AU636" s="84"/>
      <c r="AV636" s="84"/>
      <c r="AY636" s="84"/>
      <c r="AZ636" s="84"/>
      <c r="BA636" s="84"/>
      <c r="BB636" s="84"/>
      <c r="BC636" s="84"/>
      <c r="BD636" s="84"/>
      <c r="BE636" s="84"/>
      <c r="BF636" s="942"/>
      <c r="BG636" s="942"/>
      <c r="BH636" s="942"/>
      <c r="BI636" s="84"/>
      <c r="BL636" s="84"/>
      <c r="BM636" s="84"/>
      <c r="BN636" s="84"/>
      <c r="BO636" s="84"/>
      <c r="BP636" s="84"/>
      <c r="BQ636" s="84"/>
      <c r="BR636" s="84"/>
      <c r="BS636" s="942"/>
      <c r="BT636" s="942"/>
      <c r="BU636" s="942"/>
      <c r="BV636" s="84"/>
    </row>
    <row r="637" spans="14:74" ht="14.25">
      <c r="N637" s="84"/>
      <c r="O637" s="84"/>
      <c r="P637" s="84"/>
      <c r="Q637" s="84"/>
      <c r="R637" s="84"/>
      <c r="S637" s="84"/>
      <c r="T637" s="84"/>
      <c r="U637" s="84"/>
      <c r="V637" s="84"/>
      <c r="W637" s="84"/>
      <c r="Y637" s="84"/>
      <c r="Z637" s="84"/>
      <c r="AA637" s="84"/>
      <c r="AB637" s="84"/>
      <c r="AC637" s="84"/>
      <c r="AD637" s="84"/>
      <c r="AE637" s="84"/>
      <c r="AF637" s="84"/>
      <c r="AG637" s="84"/>
      <c r="AH637" s="84"/>
      <c r="AI637" s="84"/>
      <c r="AL637" s="84"/>
      <c r="AM637" s="84"/>
      <c r="AN637" s="84"/>
      <c r="AO637" s="84"/>
      <c r="AP637" s="84"/>
      <c r="AQ637" s="84"/>
      <c r="AR637" s="84"/>
      <c r="AS637" s="84"/>
      <c r="AT637" s="84"/>
      <c r="AU637" s="84"/>
      <c r="AV637" s="84"/>
      <c r="AY637" s="84"/>
      <c r="AZ637" s="84"/>
      <c r="BA637" s="84"/>
      <c r="BB637" s="84"/>
      <c r="BC637" s="84"/>
      <c r="BD637" s="84"/>
      <c r="BE637" s="84"/>
      <c r="BF637" s="942"/>
      <c r="BG637" s="942"/>
      <c r="BH637" s="942"/>
      <c r="BI637" s="84"/>
      <c r="BL637" s="84"/>
      <c r="BM637" s="84"/>
      <c r="BN637" s="84"/>
      <c r="BO637" s="84"/>
      <c r="BP637" s="84"/>
      <c r="BQ637" s="84"/>
      <c r="BR637" s="84"/>
      <c r="BS637" s="942"/>
      <c r="BT637" s="942"/>
      <c r="BU637" s="942"/>
      <c r="BV637" s="84"/>
    </row>
    <row r="638" spans="14:74" ht="14.25">
      <c r="N638" s="84"/>
      <c r="O638" s="84"/>
      <c r="P638" s="84"/>
      <c r="Q638" s="84"/>
      <c r="R638" s="84"/>
      <c r="S638" s="84"/>
      <c r="T638" s="84"/>
      <c r="U638" s="84"/>
      <c r="V638" s="84"/>
      <c r="W638" s="84"/>
      <c r="Y638" s="84"/>
      <c r="Z638" s="84"/>
      <c r="AA638" s="84"/>
      <c r="AB638" s="84"/>
      <c r="AC638" s="84"/>
      <c r="AD638" s="84"/>
      <c r="AE638" s="84"/>
      <c r="AF638" s="84"/>
      <c r="AG638" s="84"/>
      <c r="AH638" s="84"/>
      <c r="AI638" s="84"/>
      <c r="AL638" s="84"/>
      <c r="AM638" s="84"/>
      <c r="AN638" s="84"/>
      <c r="AO638" s="84"/>
      <c r="AP638" s="84"/>
      <c r="AQ638" s="84"/>
      <c r="AR638" s="84"/>
      <c r="AS638" s="84"/>
      <c r="AT638" s="84"/>
      <c r="AU638" s="84"/>
      <c r="AV638" s="84"/>
      <c r="AY638" s="84"/>
      <c r="AZ638" s="84"/>
      <c r="BA638" s="84"/>
      <c r="BB638" s="84"/>
      <c r="BC638" s="84"/>
      <c r="BD638" s="84"/>
      <c r="BE638" s="84"/>
      <c r="BF638" s="942"/>
      <c r="BG638" s="942"/>
      <c r="BH638" s="942"/>
      <c r="BI638" s="84"/>
      <c r="BL638" s="84"/>
      <c r="BM638" s="84"/>
      <c r="BN638" s="84"/>
      <c r="BO638" s="84"/>
      <c r="BP638" s="84"/>
      <c r="BQ638" s="84"/>
      <c r="BR638" s="84"/>
      <c r="BS638" s="942"/>
      <c r="BT638" s="942"/>
      <c r="BU638" s="942"/>
      <c r="BV638" s="84"/>
    </row>
    <row r="639" spans="14:74" ht="14.25">
      <c r="N639" s="84"/>
      <c r="O639" s="84"/>
      <c r="P639" s="84"/>
      <c r="Q639" s="84"/>
      <c r="R639" s="84"/>
      <c r="S639" s="84"/>
      <c r="T639" s="84"/>
      <c r="U639" s="84"/>
      <c r="V639" s="84"/>
      <c r="W639" s="84"/>
      <c r="Y639" s="84"/>
      <c r="Z639" s="84"/>
      <c r="AA639" s="84"/>
      <c r="AB639" s="84"/>
      <c r="AC639" s="84"/>
      <c r="AD639" s="84"/>
      <c r="AE639" s="84"/>
      <c r="AF639" s="84"/>
      <c r="AG639" s="84"/>
      <c r="AH639" s="84"/>
      <c r="AI639" s="84"/>
      <c r="AL639" s="84"/>
      <c r="AM639" s="84"/>
      <c r="AN639" s="84"/>
      <c r="AO639" s="84"/>
      <c r="AP639" s="84"/>
      <c r="AQ639" s="84"/>
      <c r="AR639" s="84"/>
      <c r="AS639" s="84"/>
      <c r="AT639" s="84"/>
      <c r="AU639" s="84"/>
      <c r="AV639" s="84"/>
      <c r="AY639" s="84"/>
      <c r="AZ639" s="84"/>
      <c r="BA639" s="84"/>
      <c r="BB639" s="84"/>
      <c r="BC639" s="84"/>
      <c r="BD639" s="84"/>
      <c r="BE639" s="84"/>
      <c r="BF639" s="942"/>
      <c r="BG639" s="942"/>
      <c r="BH639" s="942"/>
      <c r="BI639" s="84"/>
      <c r="BL639" s="84"/>
      <c r="BM639" s="84"/>
      <c r="BN639" s="84"/>
      <c r="BO639" s="84"/>
      <c r="BP639" s="84"/>
      <c r="BQ639" s="84"/>
      <c r="BR639" s="84"/>
      <c r="BS639" s="942"/>
      <c r="BT639" s="942"/>
      <c r="BU639" s="942"/>
      <c r="BV639" s="84"/>
    </row>
    <row r="640" spans="14:74" ht="14.25">
      <c r="N640" s="84"/>
      <c r="O640" s="84"/>
      <c r="P640" s="84"/>
      <c r="Q640" s="84"/>
      <c r="R640" s="84"/>
      <c r="S640" s="84"/>
      <c r="T640" s="84"/>
      <c r="U640" s="84"/>
      <c r="V640" s="84"/>
      <c r="W640" s="84"/>
      <c r="Y640" s="84"/>
      <c r="Z640" s="84"/>
      <c r="AA640" s="84"/>
      <c r="AB640" s="84"/>
      <c r="AC640" s="84"/>
      <c r="AD640" s="84"/>
      <c r="AE640" s="84"/>
      <c r="AF640" s="84"/>
      <c r="AG640" s="84"/>
      <c r="AH640" s="84"/>
      <c r="AI640" s="84"/>
      <c r="AL640" s="84"/>
      <c r="AM640" s="84"/>
      <c r="AN640" s="84"/>
      <c r="AO640" s="84"/>
      <c r="AP640" s="84"/>
      <c r="AQ640" s="84"/>
      <c r="AR640" s="84"/>
      <c r="AS640" s="84"/>
      <c r="AT640" s="84"/>
      <c r="AU640" s="84"/>
      <c r="AV640" s="84"/>
      <c r="AY640" s="84"/>
      <c r="AZ640" s="84"/>
      <c r="BA640" s="84"/>
      <c r="BB640" s="84"/>
      <c r="BC640" s="84"/>
      <c r="BD640" s="84"/>
      <c r="BE640" s="84"/>
      <c r="BF640" s="942"/>
      <c r="BG640" s="942"/>
      <c r="BH640" s="942"/>
      <c r="BI640" s="84"/>
      <c r="BL640" s="84"/>
      <c r="BM640" s="84"/>
      <c r="BN640" s="84"/>
      <c r="BO640" s="84"/>
      <c r="BP640" s="84"/>
      <c r="BQ640" s="84"/>
      <c r="BR640" s="84"/>
      <c r="BS640" s="942"/>
      <c r="BT640" s="942"/>
      <c r="BU640" s="942"/>
      <c r="BV640" s="84"/>
    </row>
    <row r="641" spans="14:74" ht="14.25">
      <c r="N641" s="84"/>
      <c r="O641" s="84"/>
      <c r="P641" s="84"/>
      <c r="Q641" s="84"/>
      <c r="R641" s="84"/>
      <c r="S641" s="84"/>
      <c r="T641" s="84"/>
      <c r="U641" s="84"/>
      <c r="V641" s="84"/>
      <c r="W641" s="84"/>
      <c r="Y641" s="84"/>
      <c r="Z641" s="84"/>
      <c r="AA641" s="84"/>
      <c r="AB641" s="84"/>
      <c r="AC641" s="84"/>
      <c r="AD641" s="84"/>
      <c r="AE641" s="84"/>
      <c r="AF641" s="84"/>
      <c r="AG641" s="84"/>
      <c r="AH641" s="84"/>
      <c r="AI641" s="84"/>
      <c r="AL641" s="84"/>
      <c r="AM641" s="84"/>
      <c r="AN641" s="84"/>
      <c r="AO641" s="84"/>
      <c r="AP641" s="84"/>
      <c r="AQ641" s="84"/>
      <c r="AR641" s="84"/>
      <c r="AS641" s="84"/>
      <c r="AT641" s="84"/>
      <c r="AU641" s="84"/>
      <c r="AV641" s="84"/>
      <c r="AY641" s="84"/>
      <c r="AZ641" s="84"/>
      <c r="BA641" s="84"/>
      <c r="BB641" s="84"/>
      <c r="BC641" s="84"/>
      <c r="BD641" s="84"/>
      <c r="BE641" s="84"/>
      <c r="BF641" s="942"/>
      <c r="BG641" s="942"/>
      <c r="BH641" s="942"/>
      <c r="BI641" s="84"/>
      <c r="BL641" s="84"/>
      <c r="BM641" s="84"/>
      <c r="BN641" s="84"/>
      <c r="BO641" s="84"/>
      <c r="BP641" s="84"/>
      <c r="BQ641" s="84"/>
      <c r="BR641" s="84"/>
      <c r="BS641" s="942"/>
      <c r="BT641" s="942"/>
      <c r="BU641" s="942"/>
      <c r="BV641" s="84"/>
    </row>
    <row r="642" spans="14:74" ht="14.25">
      <c r="N642" s="84"/>
      <c r="O642" s="84"/>
      <c r="P642" s="84"/>
      <c r="Q642" s="84"/>
      <c r="R642" s="84"/>
      <c r="S642" s="84"/>
      <c r="T642" s="84"/>
      <c r="U642" s="84"/>
      <c r="V642" s="84"/>
      <c r="W642" s="84"/>
      <c r="Y642" s="84"/>
      <c r="Z642" s="84"/>
      <c r="AA642" s="84"/>
      <c r="AB642" s="84"/>
      <c r="AC642" s="84"/>
      <c r="AD642" s="84"/>
      <c r="AE642" s="84"/>
      <c r="AF642" s="84"/>
      <c r="AG642" s="84"/>
      <c r="AH642" s="84"/>
      <c r="AI642" s="84"/>
      <c r="AL642" s="84"/>
      <c r="AM642" s="84"/>
      <c r="AN642" s="84"/>
      <c r="AO642" s="84"/>
      <c r="AP642" s="84"/>
      <c r="AQ642" s="84"/>
      <c r="AR642" s="84"/>
      <c r="AS642" s="84"/>
      <c r="AT642" s="84"/>
      <c r="AU642" s="84"/>
      <c r="AV642" s="84"/>
      <c r="AY642" s="84"/>
      <c r="AZ642" s="84"/>
      <c r="BA642" s="84"/>
      <c r="BB642" s="84"/>
      <c r="BC642" s="84"/>
      <c r="BD642" s="84"/>
      <c r="BE642" s="84"/>
      <c r="BF642" s="942"/>
      <c r="BG642" s="942"/>
      <c r="BH642" s="942"/>
      <c r="BI642" s="84"/>
      <c r="BL642" s="84"/>
      <c r="BM642" s="84"/>
      <c r="BN642" s="84"/>
      <c r="BO642" s="84"/>
      <c r="BP642" s="84"/>
      <c r="BQ642" s="84"/>
      <c r="BR642" s="84"/>
      <c r="BS642" s="942"/>
      <c r="BT642" s="942"/>
      <c r="BU642" s="942"/>
      <c r="BV642" s="84"/>
    </row>
    <row r="643" spans="14:74" ht="14.25">
      <c r="N643" s="84"/>
      <c r="O643" s="84"/>
      <c r="P643" s="84"/>
      <c r="Q643" s="84"/>
      <c r="R643" s="84"/>
      <c r="S643" s="84"/>
      <c r="T643" s="84"/>
      <c r="U643" s="84"/>
      <c r="V643" s="84"/>
      <c r="W643" s="84"/>
      <c r="Y643" s="84"/>
      <c r="Z643" s="84"/>
      <c r="AA643" s="84"/>
      <c r="AB643" s="84"/>
      <c r="AC643" s="84"/>
      <c r="AD643" s="84"/>
      <c r="AE643" s="84"/>
      <c r="AF643" s="84"/>
      <c r="AG643" s="84"/>
      <c r="AH643" s="84"/>
      <c r="AI643" s="84"/>
      <c r="AL643" s="84"/>
      <c r="AM643" s="84"/>
      <c r="AN643" s="84"/>
      <c r="AO643" s="84"/>
      <c r="AP643" s="84"/>
      <c r="AQ643" s="84"/>
      <c r="AR643" s="84"/>
      <c r="AS643" s="84"/>
      <c r="AT643" s="84"/>
      <c r="AU643" s="84"/>
      <c r="AV643" s="84"/>
      <c r="AY643" s="84"/>
      <c r="AZ643" s="84"/>
      <c r="BA643" s="84"/>
      <c r="BB643" s="84"/>
      <c r="BC643" s="84"/>
      <c r="BD643" s="84"/>
      <c r="BE643" s="84"/>
      <c r="BF643" s="942"/>
      <c r="BG643" s="942"/>
      <c r="BH643" s="942"/>
      <c r="BI643" s="84"/>
      <c r="BL643" s="84"/>
      <c r="BM643" s="84"/>
      <c r="BN643" s="84"/>
      <c r="BO643" s="84"/>
      <c r="BP643" s="84"/>
      <c r="BQ643" s="84"/>
      <c r="BR643" s="84"/>
      <c r="BS643" s="942"/>
      <c r="BT643" s="942"/>
      <c r="BU643" s="942"/>
      <c r="BV643" s="84"/>
    </row>
    <row r="644" spans="14:74" ht="14.25">
      <c r="N644" s="84"/>
      <c r="O644" s="84"/>
      <c r="P644" s="84"/>
      <c r="Q644" s="84"/>
      <c r="R644" s="84"/>
      <c r="S644" s="84"/>
      <c r="T644" s="84"/>
      <c r="U644" s="84"/>
      <c r="V644" s="84"/>
      <c r="W644" s="84"/>
      <c r="Y644" s="84"/>
      <c r="Z644" s="84"/>
      <c r="AA644" s="84"/>
      <c r="AB644" s="84"/>
      <c r="AC644" s="84"/>
      <c r="AD644" s="84"/>
      <c r="AE644" s="84"/>
      <c r="AF644" s="84"/>
      <c r="AG644" s="84"/>
      <c r="AH644" s="84"/>
      <c r="AI644" s="84"/>
      <c r="AL644" s="84"/>
      <c r="AM644" s="84"/>
      <c r="AN644" s="84"/>
      <c r="AO644" s="84"/>
      <c r="AP644" s="84"/>
      <c r="AQ644" s="84"/>
      <c r="AR644" s="84"/>
      <c r="AS644" s="84"/>
      <c r="AT644" s="84"/>
      <c r="AU644" s="84"/>
      <c r="AV644" s="84"/>
      <c r="AY644" s="84"/>
      <c r="AZ644" s="84"/>
      <c r="BA644" s="84"/>
      <c r="BB644" s="84"/>
      <c r="BC644" s="84"/>
      <c r="BD644" s="84"/>
      <c r="BE644" s="84"/>
      <c r="BF644" s="942"/>
      <c r="BG644" s="942"/>
      <c r="BH644" s="942"/>
      <c r="BI644" s="84"/>
      <c r="BL644" s="84"/>
      <c r="BM644" s="84"/>
      <c r="BN644" s="84"/>
      <c r="BO644" s="84"/>
      <c r="BP644" s="84"/>
      <c r="BQ644" s="84"/>
      <c r="BR644" s="84"/>
      <c r="BS644" s="942"/>
      <c r="BT644" s="942"/>
      <c r="BU644" s="942"/>
      <c r="BV644" s="84"/>
    </row>
    <row r="645" spans="14:74" ht="14.25">
      <c r="N645" s="84"/>
      <c r="O645" s="84"/>
      <c r="P645" s="84"/>
      <c r="Q645" s="84"/>
      <c r="R645" s="84"/>
      <c r="S645" s="84"/>
      <c r="T645" s="84"/>
      <c r="U645" s="84"/>
      <c r="V645" s="84"/>
      <c r="W645" s="84"/>
      <c r="Y645" s="84"/>
      <c r="Z645" s="84"/>
      <c r="AA645" s="84"/>
      <c r="AB645" s="84"/>
      <c r="AC645" s="84"/>
      <c r="AD645" s="84"/>
      <c r="AE645" s="84"/>
      <c r="AF645" s="84"/>
      <c r="AG645" s="84"/>
      <c r="AH645" s="84"/>
      <c r="AI645" s="84"/>
      <c r="AL645" s="84"/>
      <c r="AM645" s="84"/>
      <c r="AN645" s="84"/>
      <c r="AO645" s="84"/>
      <c r="AP645" s="84"/>
      <c r="AQ645" s="84"/>
      <c r="AR645" s="84"/>
      <c r="AS645" s="84"/>
      <c r="AT645" s="84"/>
      <c r="AU645" s="84"/>
      <c r="AV645" s="84"/>
      <c r="AY645" s="84"/>
      <c r="AZ645" s="84"/>
      <c r="BA645" s="84"/>
      <c r="BB645" s="84"/>
      <c r="BC645" s="84"/>
      <c r="BD645" s="84"/>
      <c r="BE645" s="84"/>
      <c r="BF645" s="942"/>
      <c r="BG645" s="942"/>
      <c r="BH645" s="942"/>
      <c r="BI645" s="84"/>
      <c r="BL645" s="84"/>
      <c r="BM645" s="84"/>
      <c r="BN645" s="84"/>
      <c r="BO645" s="84"/>
      <c r="BP645" s="84"/>
      <c r="BQ645" s="84"/>
      <c r="BR645" s="84"/>
      <c r="BS645" s="942"/>
      <c r="BT645" s="942"/>
      <c r="BU645" s="942"/>
      <c r="BV645" s="84"/>
    </row>
    <row r="646" spans="14:74" ht="14.25">
      <c r="N646" s="84"/>
      <c r="O646" s="84"/>
      <c r="P646" s="84"/>
      <c r="Q646" s="84"/>
      <c r="R646" s="84"/>
      <c r="S646" s="84"/>
      <c r="T646" s="84"/>
      <c r="U646" s="84"/>
      <c r="V646" s="84"/>
      <c r="W646" s="84"/>
      <c r="Y646" s="84"/>
      <c r="Z646" s="84"/>
      <c r="AA646" s="84"/>
      <c r="AB646" s="84"/>
      <c r="AC646" s="84"/>
      <c r="AD646" s="84"/>
      <c r="AE646" s="84"/>
      <c r="AF646" s="84"/>
      <c r="AG646" s="84"/>
      <c r="AH646" s="84"/>
      <c r="AI646" s="84"/>
      <c r="AL646" s="84"/>
      <c r="AM646" s="84"/>
      <c r="AN646" s="84"/>
      <c r="AO646" s="84"/>
      <c r="AP646" s="84"/>
      <c r="AQ646" s="84"/>
      <c r="AR646" s="84"/>
      <c r="AS646" s="84"/>
      <c r="AT646" s="84"/>
      <c r="AU646" s="84"/>
      <c r="AV646" s="84"/>
      <c r="AY646" s="84"/>
      <c r="AZ646" s="84"/>
      <c r="BA646" s="84"/>
      <c r="BB646" s="84"/>
      <c r="BC646" s="84"/>
      <c r="BD646" s="84"/>
      <c r="BE646" s="84"/>
      <c r="BF646" s="942"/>
      <c r="BG646" s="942"/>
      <c r="BH646" s="942"/>
      <c r="BI646" s="84"/>
      <c r="BL646" s="84"/>
      <c r="BM646" s="84"/>
      <c r="BN646" s="84"/>
      <c r="BO646" s="84"/>
      <c r="BP646" s="84"/>
      <c r="BQ646" s="84"/>
      <c r="BR646" s="84"/>
      <c r="BS646" s="942"/>
      <c r="BT646" s="942"/>
      <c r="BU646" s="942"/>
      <c r="BV646" s="84"/>
    </row>
    <row r="647" spans="14:74" ht="14.25">
      <c r="N647" s="84"/>
      <c r="O647" s="84"/>
      <c r="P647" s="84"/>
      <c r="Q647" s="84"/>
      <c r="R647" s="84"/>
      <c r="S647" s="84"/>
      <c r="T647" s="84"/>
      <c r="U647" s="84"/>
      <c r="V647" s="84"/>
      <c r="W647" s="84"/>
      <c r="Y647" s="84"/>
      <c r="Z647" s="84"/>
      <c r="AA647" s="84"/>
      <c r="AB647" s="84"/>
      <c r="AC647" s="84"/>
      <c r="AD647" s="84"/>
      <c r="AE647" s="84"/>
      <c r="AF647" s="84"/>
      <c r="AG647" s="84"/>
      <c r="AH647" s="84"/>
      <c r="AI647" s="84"/>
      <c r="AL647" s="84"/>
      <c r="AM647" s="84"/>
      <c r="AN647" s="84"/>
      <c r="AO647" s="84"/>
      <c r="AP647" s="84"/>
      <c r="AQ647" s="84"/>
      <c r="AR647" s="84"/>
      <c r="AS647" s="84"/>
      <c r="AT647" s="84"/>
      <c r="AU647" s="84"/>
      <c r="AV647" s="84"/>
      <c r="AY647" s="84"/>
      <c r="AZ647" s="84"/>
      <c r="BA647" s="84"/>
      <c r="BB647" s="84"/>
      <c r="BC647" s="84"/>
      <c r="BD647" s="84"/>
      <c r="BE647" s="84"/>
      <c r="BF647" s="942"/>
      <c r="BG647" s="942"/>
      <c r="BH647" s="942"/>
      <c r="BI647" s="84"/>
      <c r="BL647" s="84"/>
      <c r="BM647" s="84"/>
      <c r="BN647" s="84"/>
      <c r="BO647" s="84"/>
      <c r="BP647" s="84"/>
      <c r="BQ647" s="84"/>
      <c r="BR647" s="84"/>
      <c r="BS647" s="942"/>
      <c r="BT647" s="942"/>
      <c r="BU647" s="942"/>
      <c r="BV647" s="84"/>
    </row>
    <row r="648" spans="14:74" ht="14.25">
      <c r="N648" s="84"/>
      <c r="O648" s="84"/>
      <c r="P648" s="84"/>
      <c r="Q648" s="84"/>
      <c r="R648" s="84"/>
      <c r="S648" s="84"/>
      <c r="T648" s="84"/>
      <c r="U648" s="84"/>
      <c r="V648" s="84"/>
      <c r="W648" s="84"/>
      <c r="Y648" s="84"/>
      <c r="Z648" s="84"/>
      <c r="AA648" s="84"/>
      <c r="AB648" s="84"/>
      <c r="AC648" s="84"/>
      <c r="AD648" s="84"/>
      <c r="AE648" s="84"/>
      <c r="AF648" s="84"/>
      <c r="AG648" s="84"/>
      <c r="AH648" s="84"/>
      <c r="AI648" s="84"/>
      <c r="AL648" s="84"/>
      <c r="AM648" s="84"/>
      <c r="AN648" s="84"/>
      <c r="AO648" s="84"/>
      <c r="AP648" s="84"/>
      <c r="AQ648" s="84"/>
      <c r="AR648" s="84"/>
      <c r="AS648" s="84"/>
      <c r="AT648" s="84"/>
      <c r="AU648" s="84"/>
      <c r="AV648" s="84"/>
      <c r="AY648" s="84"/>
      <c r="AZ648" s="84"/>
      <c r="BA648" s="84"/>
      <c r="BB648" s="84"/>
      <c r="BC648" s="84"/>
      <c r="BD648" s="84"/>
      <c r="BE648" s="84"/>
      <c r="BF648" s="942"/>
      <c r="BG648" s="942"/>
      <c r="BH648" s="942"/>
      <c r="BI648" s="84"/>
      <c r="BL648" s="84"/>
      <c r="BM648" s="84"/>
      <c r="BN648" s="84"/>
      <c r="BO648" s="84"/>
      <c r="BP648" s="84"/>
      <c r="BQ648" s="84"/>
      <c r="BR648" s="84"/>
      <c r="BS648" s="942"/>
      <c r="BT648" s="942"/>
      <c r="BU648" s="942"/>
      <c r="BV648" s="84"/>
    </row>
    <row r="649" spans="14:74" ht="14.25">
      <c r="N649" s="84"/>
      <c r="O649" s="84"/>
      <c r="P649" s="84"/>
      <c r="Q649" s="84"/>
      <c r="R649" s="84"/>
      <c r="S649" s="84"/>
      <c r="T649" s="84"/>
      <c r="U649" s="84"/>
      <c r="V649" s="84"/>
      <c r="W649" s="84"/>
      <c r="Y649" s="84"/>
      <c r="Z649" s="84"/>
      <c r="AA649" s="84"/>
      <c r="AB649" s="84"/>
      <c r="AC649" s="84"/>
      <c r="AD649" s="84"/>
      <c r="AE649" s="84"/>
      <c r="AF649" s="84"/>
      <c r="AG649" s="84"/>
      <c r="AH649" s="84"/>
      <c r="AI649" s="84"/>
      <c r="AL649" s="84"/>
      <c r="AM649" s="84"/>
      <c r="AN649" s="84"/>
      <c r="AO649" s="84"/>
      <c r="AP649" s="84"/>
      <c r="AQ649" s="84"/>
      <c r="AR649" s="84"/>
      <c r="AS649" s="84"/>
      <c r="AT649" s="84"/>
      <c r="AU649" s="84"/>
      <c r="AV649" s="84"/>
      <c r="AY649" s="84"/>
      <c r="AZ649" s="84"/>
      <c r="BA649" s="84"/>
      <c r="BB649" s="84"/>
      <c r="BC649" s="84"/>
      <c r="BD649" s="84"/>
      <c r="BE649" s="84"/>
      <c r="BF649" s="942"/>
      <c r="BG649" s="942"/>
      <c r="BH649" s="942"/>
      <c r="BI649" s="84"/>
      <c r="BL649" s="84"/>
      <c r="BM649" s="84"/>
      <c r="BN649" s="84"/>
      <c r="BO649" s="84"/>
      <c r="BP649" s="84"/>
      <c r="BQ649" s="84"/>
      <c r="BR649" s="84"/>
      <c r="BS649" s="942"/>
      <c r="BT649" s="942"/>
      <c r="BU649" s="942"/>
      <c r="BV649" s="84"/>
    </row>
    <row r="650" spans="14:74" ht="14.25">
      <c r="N650" s="84"/>
      <c r="O650" s="84"/>
      <c r="P650" s="84"/>
      <c r="Q650" s="84"/>
      <c r="R650" s="84"/>
      <c r="S650" s="84"/>
      <c r="T650" s="84"/>
      <c r="U650" s="84"/>
      <c r="V650" s="84"/>
      <c r="W650" s="84"/>
      <c r="Y650" s="84"/>
      <c r="Z650" s="84"/>
      <c r="AA650" s="84"/>
      <c r="AB650" s="84"/>
      <c r="AC650" s="84"/>
      <c r="AD650" s="84"/>
      <c r="AE650" s="84"/>
      <c r="AF650" s="84"/>
      <c r="AG650" s="84"/>
      <c r="AH650" s="84"/>
      <c r="AI650" s="84"/>
      <c r="AL650" s="84"/>
      <c r="AM650" s="84"/>
      <c r="AN650" s="84"/>
      <c r="AO650" s="84"/>
      <c r="AP650" s="84"/>
      <c r="AQ650" s="84"/>
      <c r="AR650" s="84"/>
      <c r="AS650" s="84"/>
      <c r="AT650" s="84"/>
      <c r="AU650" s="84"/>
      <c r="AV650" s="84"/>
      <c r="AY650" s="84"/>
      <c r="AZ650" s="84"/>
      <c r="BA650" s="84"/>
      <c r="BB650" s="84"/>
      <c r="BC650" s="84"/>
      <c r="BD650" s="84"/>
      <c r="BE650" s="84"/>
      <c r="BF650" s="942"/>
      <c r="BG650" s="942"/>
      <c r="BH650" s="942"/>
      <c r="BI650" s="84"/>
      <c r="BL650" s="84"/>
      <c r="BM650" s="84"/>
      <c r="BN650" s="84"/>
      <c r="BO650" s="84"/>
      <c r="BP650" s="84"/>
      <c r="BQ650" s="84"/>
      <c r="BR650" s="84"/>
      <c r="BS650" s="942"/>
      <c r="BT650" s="942"/>
      <c r="BU650" s="942"/>
      <c r="BV650" s="84"/>
    </row>
    <row r="651" spans="14:74" ht="14.25">
      <c r="N651" s="84"/>
      <c r="O651" s="84"/>
      <c r="P651" s="84"/>
      <c r="Q651" s="84"/>
      <c r="R651" s="84"/>
      <c r="S651" s="84"/>
      <c r="T651" s="84"/>
      <c r="U651" s="84"/>
      <c r="V651" s="84"/>
      <c r="W651" s="84"/>
      <c r="Y651" s="84"/>
      <c r="Z651" s="84"/>
      <c r="AA651" s="84"/>
      <c r="AB651" s="84"/>
      <c r="AC651" s="84"/>
      <c r="AD651" s="84"/>
      <c r="AE651" s="84"/>
      <c r="AF651" s="84"/>
      <c r="AG651" s="84"/>
      <c r="AH651" s="84"/>
      <c r="AI651" s="84"/>
      <c r="AL651" s="84"/>
      <c r="AM651" s="84"/>
      <c r="AN651" s="84"/>
      <c r="AO651" s="84"/>
      <c r="AP651" s="84"/>
      <c r="AQ651" s="84"/>
      <c r="AR651" s="84"/>
      <c r="AS651" s="84"/>
      <c r="AT651" s="84"/>
      <c r="AU651" s="84"/>
      <c r="AV651" s="84"/>
      <c r="AY651" s="84"/>
      <c r="AZ651" s="84"/>
      <c r="BA651" s="84"/>
      <c r="BB651" s="84"/>
      <c r="BC651" s="84"/>
      <c r="BD651" s="84"/>
      <c r="BE651" s="84"/>
      <c r="BF651" s="942"/>
      <c r="BG651" s="942"/>
      <c r="BH651" s="942"/>
      <c r="BI651" s="84"/>
      <c r="BL651" s="84"/>
      <c r="BM651" s="84"/>
      <c r="BN651" s="84"/>
      <c r="BO651" s="84"/>
      <c r="BP651" s="84"/>
      <c r="BQ651" s="84"/>
      <c r="BR651" s="84"/>
      <c r="BS651" s="942"/>
      <c r="BT651" s="942"/>
      <c r="BU651" s="942"/>
      <c r="BV651" s="84"/>
    </row>
    <row r="652" spans="14:74" ht="14.25">
      <c r="N652" s="84"/>
      <c r="O652" s="84"/>
      <c r="P652" s="84"/>
      <c r="Q652" s="84"/>
      <c r="R652" s="84"/>
      <c r="S652" s="84"/>
      <c r="T652" s="84"/>
      <c r="U652" s="84"/>
      <c r="V652" s="84"/>
      <c r="W652" s="84"/>
      <c r="Y652" s="84"/>
      <c r="Z652" s="84"/>
      <c r="AA652" s="84"/>
      <c r="AB652" s="84"/>
      <c r="AC652" s="84"/>
      <c r="AD652" s="84"/>
      <c r="AE652" s="84"/>
      <c r="AF652" s="84"/>
      <c r="AG652" s="84"/>
      <c r="AH652" s="84"/>
      <c r="AI652" s="84"/>
      <c r="AL652" s="84"/>
      <c r="AM652" s="84"/>
      <c r="AN652" s="84"/>
      <c r="AO652" s="84"/>
      <c r="AP652" s="84"/>
      <c r="AQ652" s="84"/>
      <c r="AR652" s="84"/>
      <c r="AS652" s="84"/>
      <c r="AT652" s="84"/>
      <c r="AU652" s="84"/>
      <c r="AV652" s="84"/>
      <c r="AY652" s="84"/>
      <c r="AZ652" s="84"/>
      <c r="BA652" s="84"/>
      <c r="BB652" s="84"/>
      <c r="BC652" s="84"/>
      <c r="BD652" s="84"/>
      <c r="BE652" s="84"/>
      <c r="BF652" s="942"/>
      <c r="BG652" s="942"/>
      <c r="BH652" s="942"/>
      <c r="BI652" s="84"/>
      <c r="BL652" s="84"/>
      <c r="BM652" s="84"/>
      <c r="BN652" s="84"/>
      <c r="BO652" s="84"/>
      <c r="BP652" s="84"/>
      <c r="BQ652" s="84"/>
      <c r="BR652" s="84"/>
      <c r="BS652" s="942"/>
      <c r="BT652" s="942"/>
      <c r="BU652" s="942"/>
      <c r="BV652" s="84"/>
    </row>
    <row r="653" spans="14:74" ht="14.25">
      <c r="N653" s="84"/>
      <c r="O653" s="84"/>
      <c r="P653" s="84"/>
      <c r="Q653" s="84"/>
      <c r="R653" s="84"/>
      <c r="S653" s="84"/>
      <c r="T653" s="84"/>
      <c r="U653" s="84"/>
      <c r="V653" s="84"/>
      <c r="W653" s="84"/>
      <c r="Y653" s="84"/>
      <c r="Z653" s="84"/>
      <c r="AA653" s="84"/>
      <c r="AB653" s="84"/>
      <c r="AC653" s="84"/>
      <c r="AD653" s="84"/>
      <c r="AE653" s="84"/>
      <c r="AF653" s="84"/>
      <c r="AG653" s="84"/>
      <c r="AH653" s="84"/>
      <c r="AI653" s="84"/>
      <c r="AL653" s="84"/>
      <c r="AM653" s="84"/>
      <c r="AN653" s="84"/>
      <c r="AO653" s="84"/>
      <c r="AP653" s="84"/>
      <c r="AQ653" s="84"/>
      <c r="AR653" s="84"/>
      <c r="AS653" s="84"/>
      <c r="AT653" s="84"/>
      <c r="AU653" s="84"/>
      <c r="AV653" s="84"/>
      <c r="AY653" s="84"/>
      <c r="AZ653" s="84"/>
      <c r="BA653" s="84"/>
      <c r="BB653" s="84"/>
      <c r="BC653" s="84"/>
      <c r="BD653" s="84"/>
      <c r="BE653" s="84"/>
      <c r="BF653" s="942"/>
      <c r="BG653" s="942"/>
      <c r="BH653" s="942"/>
      <c r="BI653" s="84"/>
      <c r="BL653" s="84"/>
      <c r="BM653" s="84"/>
      <c r="BN653" s="84"/>
      <c r="BO653" s="84"/>
      <c r="BP653" s="84"/>
      <c r="BQ653" s="84"/>
      <c r="BR653" s="84"/>
      <c r="BS653" s="942"/>
      <c r="BT653" s="942"/>
      <c r="BU653" s="942"/>
      <c r="BV653" s="84"/>
    </row>
    <row r="654" spans="14:74" ht="14.25">
      <c r="N654" s="84"/>
      <c r="O654" s="84"/>
      <c r="P654" s="84"/>
      <c r="Q654" s="84"/>
      <c r="R654" s="84"/>
      <c r="S654" s="84"/>
      <c r="T654" s="84"/>
      <c r="U654" s="84"/>
      <c r="V654" s="84"/>
      <c r="W654" s="84"/>
      <c r="Y654" s="84"/>
      <c r="Z654" s="84"/>
      <c r="AA654" s="84"/>
      <c r="AB654" s="84"/>
      <c r="AC654" s="84"/>
      <c r="AD654" s="84"/>
      <c r="AE654" s="84"/>
      <c r="AF654" s="84"/>
      <c r="AG654" s="84"/>
      <c r="AH654" s="84"/>
      <c r="AI654" s="84"/>
      <c r="AL654" s="84"/>
      <c r="AM654" s="84"/>
      <c r="AN654" s="84"/>
      <c r="AO654" s="84"/>
      <c r="AP654" s="84"/>
      <c r="AQ654" s="84"/>
      <c r="AR654" s="84"/>
      <c r="AS654" s="84"/>
      <c r="AT654" s="84"/>
      <c r="AU654" s="84"/>
      <c r="AV654" s="84"/>
      <c r="AY654" s="84"/>
      <c r="AZ654" s="84"/>
      <c r="BA654" s="84"/>
      <c r="BB654" s="84"/>
      <c r="BC654" s="84"/>
      <c r="BD654" s="84"/>
      <c r="BE654" s="84"/>
      <c r="BF654" s="942"/>
      <c r="BG654" s="942"/>
      <c r="BH654" s="942"/>
      <c r="BI654" s="84"/>
      <c r="BL654" s="84"/>
      <c r="BM654" s="84"/>
      <c r="BN654" s="84"/>
      <c r="BO654" s="84"/>
      <c r="BP654" s="84"/>
      <c r="BQ654" s="84"/>
      <c r="BR654" s="84"/>
      <c r="BS654" s="942"/>
      <c r="BT654" s="942"/>
      <c r="BU654" s="942"/>
      <c r="BV654" s="84"/>
    </row>
    <row r="655" spans="14:74" ht="14.25">
      <c r="N655" s="84"/>
      <c r="O655" s="84"/>
      <c r="P655" s="84"/>
      <c r="Q655" s="84"/>
      <c r="R655" s="84"/>
      <c r="S655" s="84"/>
      <c r="T655" s="84"/>
      <c r="U655" s="84"/>
      <c r="V655" s="84"/>
      <c r="W655" s="84"/>
      <c r="Y655" s="84"/>
      <c r="Z655" s="84"/>
      <c r="AA655" s="84"/>
      <c r="AB655" s="84"/>
      <c r="AC655" s="84"/>
      <c r="AD655" s="84"/>
      <c r="AE655" s="84"/>
      <c r="AF655" s="84"/>
      <c r="AG655" s="84"/>
      <c r="AH655" s="84"/>
      <c r="AI655" s="84"/>
      <c r="AL655" s="84"/>
      <c r="AM655" s="84"/>
      <c r="AN655" s="84"/>
      <c r="AO655" s="84"/>
      <c r="AP655" s="84"/>
      <c r="AQ655" s="84"/>
      <c r="AR655" s="84"/>
      <c r="AS655" s="84"/>
      <c r="AT655" s="84"/>
      <c r="AU655" s="84"/>
      <c r="AV655" s="84"/>
      <c r="AY655" s="84"/>
      <c r="AZ655" s="84"/>
      <c r="BA655" s="84"/>
      <c r="BB655" s="84"/>
      <c r="BC655" s="84"/>
      <c r="BD655" s="84"/>
      <c r="BE655" s="84"/>
      <c r="BF655" s="942"/>
      <c r="BG655" s="942"/>
      <c r="BH655" s="942"/>
      <c r="BI655" s="84"/>
      <c r="BL655" s="84"/>
      <c r="BM655" s="84"/>
      <c r="BN655" s="84"/>
      <c r="BO655" s="84"/>
      <c r="BP655" s="84"/>
      <c r="BQ655" s="84"/>
      <c r="BR655" s="84"/>
      <c r="BS655" s="942"/>
      <c r="BT655" s="942"/>
      <c r="BU655" s="942"/>
      <c r="BV655" s="84"/>
    </row>
    <row r="656" spans="14:74" ht="14.25">
      <c r="N656" s="84"/>
      <c r="O656" s="84"/>
      <c r="P656" s="84"/>
      <c r="Q656" s="84"/>
      <c r="R656" s="84"/>
      <c r="S656" s="84"/>
      <c r="T656" s="84"/>
      <c r="U656" s="84"/>
      <c r="V656" s="84"/>
      <c r="W656" s="84"/>
      <c r="Y656" s="84"/>
      <c r="Z656" s="84"/>
      <c r="AA656" s="84"/>
      <c r="AB656" s="84"/>
      <c r="AC656" s="84"/>
      <c r="AD656" s="84"/>
      <c r="AE656" s="84"/>
      <c r="AF656" s="84"/>
      <c r="AG656" s="84"/>
      <c r="AH656" s="84"/>
      <c r="AI656" s="84"/>
      <c r="AL656" s="84"/>
      <c r="AM656" s="84"/>
      <c r="AN656" s="84"/>
      <c r="AO656" s="84"/>
      <c r="AP656" s="84"/>
      <c r="AQ656" s="84"/>
      <c r="AR656" s="84"/>
      <c r="AS656" s="84"/>
      <c r="AT656" s="84"/>
      <c r="AU656" s="84"/>
      <c r="AV656" s="84"/>
      <c r="AY656" s="84"/>
      <c r="AZ656" s="84"/>
      <c r="BA656" s="84"/>
      <c r="BB656" s="84"/>
      <c r="BC656" s="84"/>
      <c r="BD656" s="84"/>
      <c r="BE656" s="84"/>
      <c r="BF656" s="942"/>
      <c r="BG656" s="942"/>
      <c r="BH656" s="942"/>
      <c r="BI656" s="84"/>
      <c r="BL656" s="84"/>
      <c r="BM656" s="84"/>
      <c r="BN656" s="84"/>
      <c r="BO656" s="84"/>
      <c r="BP656" s="84"/>
      <c r="BQ656" s="84"/>
      <c r="BR656" s="84"/>
      <c r="BS656" s="942"/>
      <c r="BT656" s="942"/>
      <c r="BU656" s="942"/>
      <c r="BV656" s="84"/>
    </row>
    <row r="657" spans="14:74" ht="14.25">
      <c r="N657" s="84"/>
      <c r="O657" s="84"/>
      <c r="P657" s="84"/>
      <c r="Q657" s="84"/>
      <c r="R657" s="84"/>
      <c r="S657" s="84"/>
      <c r="T657" s="84"/>
      <c r="U657" s="84"/>
      <c r="V657" s="84"/>
      <c r="W657" s="84"/>
      <c r="Y657" s="84"/>
      <c r="Z657" s="84"/>
      <c r="AA657" s="84"/>
      <c r="AB657" s="84"/>
      <c r="AC657" s="84"/>
      <c r="AD657" s="84"/>
      <c r="AE657" s="84"/>
      <c r="AF657" s="84"/>
      <c r="AG657" s="84"/>
      <c r="AH657" s="84"/>
      <c r="AI657" s="84"/>
      <c r="AL657" s="84"/>
      <c r="AM657" s="84"/>
      <c r="AN657" s="84"/>
      <c r="AO657" s="84"/>
      <c r="AP657" s="84"/>
      <c r="AQ657" s="84"/>
      <c r="AR657" s="84"/>
      <c r="AS657" s="84"/>
      <c r="AT657" s="84"/>
      <c r="AU657" s="84"/>
      <c r="AV657" s="84"/>
      <c r="AY657" s="84"/>
      <c r="AZ657" s="84"/>
      <c r="BA657" s="84"/>
      <c r="BB657" s="84"/>
      <c r="BC657" s="84"/>
      <c r="BD657" s="84"/>
      <c r="BE657" s="84"/>
      <c r="BF657" s="942"/>
      <c r="BG657" s="942"/>
      <c r="BH657" s="942"/>
      <c r="BI657" s="84"/>
      <c r="BL657" s="84"/>
      <c r="BM657" s="84"/>
      <c r="BN657" s="84"/>
      <c r="BO657" s="84"/>
      <c r="BP657" s="84"/>
      <c r="BQ657" s="84"/>
      <c r="BR657" s="84"/>
      <c r="BS657" s="942"/>
      <c r="BT657" s="942"/>
      <c r="BU657" s="942"/>
      <c r="BV657" s="84"/>
    </row>
    <row r="658" spans="14:74" ht="14.25">
      <c r="N658" s="84"/>
      <c r="O658" s="84"/>
      <c r="P658" s="84"/>
      <c r="Q658" s="84"/>
      <c r="R658" s="84"/>
      <c r="S658" s="84"/>
      <c r="T658" s="84"/>
      <c r="U658" s="84"/>
      <c r="V658" s="84"/>
      <c r="W658" s="84"/>
      <c r="Y658" s="84"/>
      <c r="Z658" s="84"/>
      <c r="AA658" s="84"/>
      <c r="AB658" s="84"/>
      <c r="AC658" s="84"/>
      <c r="AD658" s="84"/>
      <c r="AE658" s="84"/>
      <c r="AF658" s="84"/>
      <c r="AG658" s="84"/>
      <c r="AH658" s="84"/>
      <c r="AI658" s="84"/>
      <c r="AL658" s="84"/>
      <c r="AM658" s="84"/>
      <c r="AN658" s="84"/>
      <c r="AO658" s="84"/>
      <c r="AP658" s="84"/>
      <c r="AQ658" s="84"/>
      <c r="AR658" s="84"/>
      <c r="AS658" s="84"/>
      <c r="AT658" s="84"/>
      <c r="AU658" s="84"/>
      <c r="AV658" s="84"/>
      <c r="AY658" s="84"/>
      <c r="AZ658" s="84"/>
      <c r="BA658" s="84"/>
      <c r="BB658" s="84"/>
      <c r="BC658" s="84"/>
      <c r="BD658" s="84"/>
      <c r="BE658" s="84"/>
      <c r="BF658" s="942"/>
      <c r="BG658" s="942"/>
      <c r="BH658" s="942"/>
      <c r="BI658" s="84"/>
      <c r="BL658" s="84"/>
      <c r="BM658" s="84"/>
      <c r="BN658" s="84"/>
      <c r="BO658" s="84"/>
      <c r="BP658" s="84"/>
      <c r="BQ658" s="84"/>
      <c r="BR658" s="84"/>
      <c r="BS658" s="942"/>
      <c r="BT658" s="942"/>
      <c r="BU658" s="942"/>
      <c r="BV658" s="84"/>
    </row>
    <row r="659" spans="14:74" ht="14.25">
      <c r="N659" s="84"/>
      <c r="O659" s="84"/>
      <c r="P659" s="84"/>
      <c r="Q659" s="84"/>
      <c r="R659" s="84"/>
      <c r="S659" s="84"/>
      <c r="T659" s="84"/>
      <c r="U659" s="84"/>
      <c r="V659" s="84"/>
      <c r="W659" s="84"/>
      <c r="Y659" s="84"/>
      <c r="Z659" s="84"/>
      <c r="AA659" s="84"/>
      <c r="AB659" s="84"/>
      <c r="AC659" s="84"/>
      <c r="AD659" s="84"/>
      <c r="AE659" s="84"/>
      <c r="AF659" s="84"/>
      <c r="AG659" s="84"/>
      <c r="AH659" s="84"/>
      <c r="AI659" s="84"/>
      <c r="AL659" s="84"/>
      <c r="AM659" s="84"/>
      <c r="AN659" s="84"/>
      <c r="AO659" s="84"/>
      <c r="AP659" s="84"/>
      <c r="AQ659" s="84"/>
      <c r="AR659" s="84"/>
      <c r="AS659" s="84"/>
      <c r="AT659" s="84"/>
      <c r="AU659" s="84"/>
      <c r="AV659" s="84"/>
      <c r="AY659" s="84"/>
      <c r="AZ659" s="84"/>
      <c r="BA659" s="84"/>
      <c r="BB659" s="84"/>
      <c r="BC659" s="84"/>
      <c r="BD659" s="84"/>
      <c r="BE659" s="84"/>
      <c r="BF659" s="942"/>
      <c r="BG659" s="942"/>
      <c r="BH659" s="942"/>
      <c r="BI659" s="84"/>
      <c r="BL659" s="84"/>
      <c r="BM659" s="84"/>
      <c r="BN659" s="84"/>
      <c r="BO659" s="84"/>
      <c r="BP659" s="84"/>
      <c r="BQ659" s="84"/>
      <c r="BR659" s="84"/>
      <c r="BS659" s="942"/>
      <c r="BT659" s="942"/>
      <c r="BU659" s="942"/>
      <c r="BV659" s="84"/>
    </row>
    <row r="660" spans="14:74" ht="14.25">
      <c r="N660" s="84"/>
      <c r="O660" s="84"/>
      <c r="P660" s="84"/>
      <c r="Q660" s="84"/>
      <c r="R660" s="84"/>
      <c r="S660" s="84"/>
      <c r="T660" s="84"/>
      <c r="U660" s="84"/>
      <c r="V660" s="84"/>
      <c r="W660" s="84"/>
      <c r="Y660" s="84"/>
      <c r="Z660" s="84"/>
      <c r="AA660" s="84"/>
      <c r="AB660" s="84"/>
      <c r="AC660" s="84"/>
      <c r="AD660" s="84"/>
      <c r="AE660" s="84"/>
      <c r="AF660" s="84"/>
      <c r="AG660" s="84"/>
      <c r="AH660" s="84"/>
      <c r="AI660" s="84"/>
      <c r="AL660" s="84"/>
      <c r="AM660" s="84"/>
      <c r="AN660" s="84"/>
      <c r="AO660" s="84"/>
      <c r="AP660" s="84"/>
      <c r="AQ660" s="84"/>
      <c r="AR660" s="84"/>
      <c r="AS660" s="84"/>
      <c r="AT660" s="84"/>
      <c r="AU660" s="84"/>
      <c r="AV660" s="84"/>
      <c r="AY660" s="84"/>
      <c r="AZ660" s="84"/>
      <c r="BA660" s="84"/>
      <c r="BB660" s="84"/>
      <c r="BC660" s="84"/>
      <c r="BD660" s="84"/>
      <c r="BE660" s="84"/>
      <c r="BF660" s="942"/>
      <c r="BG660" s="942"/>
      <c r="BH660" s="942"/>
      <c r="BI660" s="84"/>
      <c r="BL660" s="84"/>
      <c r="BM660" s="84"/>
      <c r="BN660" s="84"/>
      <c r="BO660" s="84"/>
      <c r="BP660" s="84"/>
      <c r="BQ660" s="84"/>
      <c r="BR660" s="84"/>
      <c r="BS660" s="942"/>
      <c r="BT660" s="942"/>
      <c r="BU660" s="942"/>
      <c r="BV660" s="84"/>
    </row>
    <row r="661" spans="14:74" ht="14.25">
      <c r="N661" s="84"/>
      <c r="O661" s="84"/>
      <c r="P661" s="84"/>
      <c r="Q661" s="84"/>
      <c r="R661" s="84"/>
      <c r="S661" s="84"/>
      <c r="T661" s="84"/>
      <c r="U661" s="84"/>
      <c r="V661" s="84"/>
      <c r="W661" s="84"/>
      <c r="Y661" s="84"/>
      <c r="Z661" s="84"/>
      <c r="AA661" s="84"/>
      <c r="AB661" s="84"/>
      <c r="AC661" s="84"/>
      <c r="AD661" s="84"/>
      <c r="AE661" s="84"/>
      <c r="AF661" s="84"/>
      <c r="AG661" s="84"/>
      <c r="AH661" s="84"/>
      <c r="AI661" s="84"/>
      <c r="AL661" s="84"/>
      <c r="AM661" s="84"/>
      <c r="AN661" s="84"/>
      <c r="AO661" s="84"/>
      <c r="AP661" s="84"/>
      <c r="AQ661" s="84"/>
      <c r="AR661" s="84"/>
      <c r="AS661" s="84"/>
      <c r="AT661" s="84"/>
      <c r="AU661" s="84"/>
      <c r="AV661" s="84"/>
      <c r="AY661" s="84"/>
      <c r="AZ661" s="84"/>
      <c r="BA661" s="84"/>
      <c r="BB661" s="84"/>
      <c r="BC661" s="84"/>
      <c r="BD661" s="84"/>
      <c r="BE661" s="84"/>
      <c r="BF661" s="942"/>
      <c r="BG661" s="942"/>
      <c r="BH661" s="942"/>
      <c r="BI661" s="84"/>
      <c r="BL661" s="84"/>
      <c r="BM661" s="84"/>
      <c r="BN661" s="84"/>
      <c r="BO661" s="84"/>
      <c r="BP661" s="84"/>
      <c r="BQ661" s="84"/>
      <c r="BR661" s="84"/>
      <c r="BS661" s="942"/>
      <c r="BT661" s="942"/>
      <c r="BU661" s="942"/>
      <c r="BV661" s="84"/>
    </row>
    <row r="662" spans="14:74" ht="14.25">
      <c r="N662" s="84"/>
      <c r="O662" s="84"/>
      <c r="P662" s="84"/>
      <c r="Q662" s="84"/>
      <c r="R662" s="84"/>
      <c r="S662" s="84"/>
      <c r="T662" s="84"/>
      <c r="U662" s="84"/>
      <c r="V662" s="84"/>
      <c r="W662" s="84"/>
      <c r="Y662" s="84"/>
      <c r="Z662" s="84"/>
      <c r="AA662" s="84"/>
      <c r="AB662" s="84"/>
      <c r="AC662" s="84"/>
      <c r="AD662" s="84"/>
      <c r="AE662" s="84"/>
      <c r="AF662" s="84"/>
      <c r="AG662" s="84"/>
      <c r="AH662" s="84"/>
      <c r="AI662" s="84"/>
      <c r="AL662" s="84"/>
      <c r="AM662" s="84"/>
      <c r="AN662" s="84"/>
      <c r="AO662" s="84"/>
      <c r="AP662" s="84"/>
      <c r="AQ662" s="84"/>
      <c r="AR662" s="84"/>
      <c r="AS662" s="84"/>
      <c r="AT662" s="84"/>
      <c r="AU662" s="84"/>
      <c r="AV662" s="84"/>
      <c r="AY662" s="84"/>
      <c r="AZ662" s="84"/>
      <c r="BA662" s="84"/>
      <c r="BB662" s="84"/>
      <c r="BC662" s="84"/>
      <c r="BD662" s="84"/>
      <c r="BE662" s="84"/>
      <c r="BF662" s="942"/>
      <c r="BG662" s="942"/>
      <c r="BH662" s="942"/>
      <c r="BI662" s="84"/>
      <c r="BL662" s="84"/>
      <c r="BM662" s="84"/>
      <c r="BN662" s="84"/>
      <c r="BO662" s="84"/>
      <c r="BP662" s="84"/>
      <c r="BQ662" s="84"/>
      <c r="BR662" s="84"/>
      <c r="BS662" s="942"/>
      <c r="BT662" s="942"/>
      <c r="BU662" s="942"/>
      <c r="BV662" s="84"/>
    </row>
    <row r="663" spans="14:74" ht="14.25">
      <c r="N663" s="84"/>
      <c r="O663" s="84"/>
      <c r="P663" s="84"/>
      <c r="Q663" s="84"/>
      <c r="R663" s="84"/>
      <c r="S663" s="84"/>
      <c r="T663" s="84"/>
      <c r="U663" s="84"/>
      <c r="V663" s="84"/>
      <c r="W663" s="84"/>
      <c r="Y663" s="84"/>
      <c r="Z663" s="84"/>
      <c r="AA663" s="84"/>
      <c r="AB663" s="84"/>
      <c r="AC663" s="84"/>
      <c r="AD663" s="84"/>
      <c r="AE663" s="84"/>
      <c r="AF663" s="84"/>
      <c r="AG663" s="84"/>
      <c r="AH663" s="84"/>
      <c r="AI663" s="84"/>
      <c r="AL663" s="84"/>
      <c r="AM663" s="84"/>
      <c r="AN663" s="84"/>
      <c r="AO663" s="84"/>
      <c r="AP663" s="84"/>
      <c r="AQ663" s="84"/>
      <c r="AR663" s="84"/>
      <c r="AS663" s="84"/>
      <c r="AT663" s="84"/>
      <c r="AU663" s="84"/>
      <c r="AV663" s="84"/>
      <c r="AY663" s="84"/>
      <c r="AZ663" s="84"/>
      <c r="BA663" s="84"/>
      <c r="BB663" s="84"/>
      <c r="BC663" s="84"/>
      <c r="BD663" s="84"/>
      <c r="BE663" s="84"/>
      <c r="BF663" s="942"/>
      <c r="BG663" s="942"/>
      <c r="BH663" s="942"/>
      <c r="BI663" s="84"/>
      <c r="BL663" s="84"/>
      <c r="BM663" s="84"/>
      <c r="BN663" s="84"/>
      <c r="BO663" s="84"/>
      <c r="BP663" s="84"/>
      <c r="BQ663" s="84"/>
      <c r="BR663" s="84"/>
      <c r="BS663" s="942"/>
      <c r="BT663" s="942"/>
      <c r="BU663" s="942"/>
      <c r="BV663" s="84"/>
    </row>
    <row r="664" spans="14:74" ht="14.25">
      <c r="N664" s="84"/>
      <c r="O664" s="84"/>
      <c r="P664" s="84"/>
      <c r="Q664" s="84"/>
      <c r="R664" s="84"/>
      <c r="S664" s="84"/>
      <c r="T664" s="84"/>
      <c r="U664" s="84"/>
      <c r="V664" s="84"/>
      <c r="W664" s="84"/>
      <c r="Y664" s="84"/>
      <c r="Z664" s="84"/>
      <c r="AA664" s="84"/>
      <c r="AB664" s="84"/>
      <c r="AC664" s="84"/>
      <c r="AD664" s="84"/>
      <c r="AE664" s="84"/>
      <c r="AF664" s="84"/>
      <c r="AG664" s="84"/>
      <c r="AH664" s="84"/>
      <c r="AI664" s="84"/>
      <c r="AL664" s="84"/>
      <c r="AM664" s="84"/>
      <c r="AN664" s="84"/>
      <c r="AO664" s="84"/>
      <c r="AP664" s="84"/>
      <c r="AQ664" s="84"/>
      <c r="AR664" s="84"/>
      <c r="AS664" s="84"/>
      <c r="AT664" s="84"/>
      <c r="AU664" s="84"/>
      <c r="AV664" s="84"/>
      <c r="AY664" s="84"/>
      <c r="AZ664" s="84"/>
      <c r="BA664" s="84"/>
      <c r="BB664" s="84"/>
      <c r="BC664" s="84"/>
      <c r="BD664" s="84"/>
      <c r="BE664" s="84"/>
      <c r="BF664" s="942"/>
      <c r="BG664" s="942"/>
      <c r="BH664" s="942"/>
      <c r="BI664" s="84"/>
      <c r="BL664" s="84"/>
      <c r="BM664" s="84"/>
      <c r="BN664" s="84"/>
      <c r="BO664" s="84"/>
      <c r="BP664" s="84"/>
      <c r="BQ664" s="84"/>
      <c r="BR664" s="84"/>
      <c r="BS664" s="942"/>
      <c r="BT664" s="942"/>
      <c r="BU664" s="942"/>
      <c r="BV664" s="84"/>
    </row>
    <row r="665" spans="14:74" ht="14.25">
      <c r="N665" s="84"/>
      <c r="O665" s="84"/>
      <c r="P665" s="84"/>
      <c r="Q665" s="84"/>
      <c r="R665" s="84"/>
      <c r="S665" s="84"/>
      <c r="T665" s="84"/>
      <c r="U665" s="84"/>
      <c r="V665" s="84"/>
      <c r="W665" s="84"/>
      <c r="Y665" s="84"/>
      <c r="Z665" s="84"/>
      <c r="AA665" s="84"/>
      <c r="AB665" s="84"/>
      <c r="AC665" s="84"/>
      <c r="AD665" s="84"/>
      <c r="AE665" s="84"/>
      <c r="AF665" s="84"/>
      <c r="AG665" s="84"/>
      <c r="AH665" s="84"/>
      <c r="AI665" s="84"/>
      <c r="AL665" s="84"/>
      <c r="AM665" s="84"/>
      <c r="AN665" s="84"/>
      <c r="AO665" s="84"/>
      <c r="AP665" s="84"/>
      <c r="AQ665" s="84"/>
      <c r="AR665" s="84"/>
      <c r="AS665" s="84"/>
      <c r="AT665" s="84"/>
      <c r="AU665" s="84"/>
      <c r="AV665" s="84"/>
      <c r="AY665" s="84"/>
      <c r="AZ665" s="84"/>
      <c r="BA665" s="84"/>
      <c r="BB665" s="84"/>
      <c r="BC665" s="84"/>
      <c r="BD665" s="84"/>
      <c r="BE665" s="84"/>
      <c r="BF665" s="942"/>
      <c r="BG665" s="942"/>
      <c r="BH665" s="942"/>
      <c r="BI665" s="84"/>
      <c r="BL665" s="84"/>
      <c r="BM665" s="84"/>
      <c r="BN665" s="84"/>
      <c r="BO665" s="84"/>
      <c r="BP665" s="84"/>
      <c r="BQ665" s="84"/>
      <c r="BR665" s="84"/>
      <c r="BS665" s="942"/>
      <c r="BT665" s="942"/>
      <c r="BU665" s="942"/>
      <c r="BV665" s="84"/>
    </row>
    <row r="666" spans="14:74" ht="14.25">
      <c r="N666" s="84"/>
      <c r="O666" s="84"/>
      <c r="P666" s="84"/>
      <c r="Q666" s="84"/>
      <c r="R666" s="84"/>
      <c r="S666" s="84"/>
      <c r="T666" s="84"/>
      <c r="U666" s="84"/>
      <c r="V666" s="84"/>
      <c r="W666" s="84"/>
      <c r="Y666" s="84"/>
      <c r="Z666" s="84"/>
      <c r="AA666" s="84"/>
      <c r="AB666" s="84"/>
      <c r="AC666" s="84"/>
      <c r="AD666" s="84"/>
      <c r="AE666" s="84"/>
      <c r="AF666" s="84"/>
      <c r="AG666" s="84"/>
      <c r="AH666" s="84"/>
      <c r="AI666" s="84"/>
      <c r="AL666" s="84"/>
      <c r="AM666" s="84"/>
      <c r="AN666" s="84"/>
      <c r="AO666" s="84"/>
      <c r="AP666" s="84"/>
      <c r="AQ666" s="84"/>
      <c r="AR666" s="84"/>
      <c r="AS666" s="84"/>
      <c r="AT666" s="84"/>
      <c r="AU666" s="84"/>
      <c r="AV666" s="84"/>
      <c r="AY666" s="84"/>
      <c r="AZ666" s="84"/>
      <c r="BA666" s="84"/>
      <c r="BB666" s="84"/>
      <c r="BC666" s="84"/>
      <c r="BD666" s="84"/>
      <c r="BE666" s="84"/>
      <c r="BF666" s="942"/>
      <c r="BG666" s="942"/>
      <c r="BH666" s="942"/>
      <c r="BI666" s="84"/>
      <c r="BL666" s="84"/>
      <c r="BM666" s="84"/>
      <c r="BN666" s="84"/>
      <c r="BO666" s="84"/>
      <c r="BP666" s="84"/>
      <c r="BQ666" s="84"/>
      <c r="BR666" s="84"/>
      <c r="BS666" s="942"/>
      <c r="BT666" s="942"/>
      <c r="BU666" s="942"/>
      <c r="BV666" s="84"/>
    </row>
    <row r="667" spans="14:74" ht="14.25">
      <c r="N667" s="84"/>
      <c r="O667" s="84"/>
      <c r="P667" s="84"/>
      <c r="Q667" s="84"/>
      <c r="R667" s="84"/>
      <c r="S667" s="84"/>
      <c r="T667" s="84"/>
      <c r="U667" s="84"/>
      <c r="V667" s="84"/>
      <c r="W667" s="84"/>
      <c r="Y667" s="84"/>
      <c r="Z667" s="84"/>
      <c r="AA667" s="84"/>
      <c r="AB667" s="84"/>
      <c r="AC667" s="84"/>
      <c r="AD667" s="84"/>
      <c r="AE667" s="84"/>
      <c r="AF667" s="84"/>
      <c r="AG667" s="84"/>
      <c r="AH667" s="84"/>
      <c r="AI667" s="84"/>
      <c r="AL667" s="84"/>
      <c r="AM667" s="84"/>
      <c r="AN667" s="84"/>
      <c r="AO667" s="84"/>
      <c r="AP667" s="84"/>
      <c r="AQ667" s="84"/>
      <c r="AR667" s="84"/>
      <c r="AS667" s="84"/>
      <c r="AT667" s="84"/>
      <c r="AU667" s="84"/>
      <c r="AV667" s="84"/>
      <c r="AY667" s="84"/>
      <c r="AZ667" s="84"/>
      <c r="BA667" s="84"/>
      <c r="BB667" s="84"/>
      <c r="BC667" s="84"/>
      <c r="BD667" s="84"/>
      <c r="BE667" s="84"/>
      <c r="BF667" s="942"/>
      <c r="BG667" s="942"/>
      <c r="BH667" s="942"/>
      <c r="BI667" s="84"/>
      <c r="BL667" s="84"/>
      <c r="BM667" s="84"/>
      <c r="BN667" s="84"/>
      <c r="BO667" s="84"/>
      <c r="BP667" s="84"/>
      <c r="BQ667" s="84"/>
      <c r="BR667" s="84"/>
      <c r="BS667" s="942"/>
      <c r="BT667" s="942"/>
      <c r="BU667" s="942"/>
      <c r="BV667" s="84"/>
    </row>
    <row r="668" spans="14:74" ht="14.25">
      <c r="N668" s="84"/>
      <c r="O668" s="84"/>
      <c r="P668" s="84"/>
      <c r="Q668" s="84"/>
      <c r="R668" s="84"/>
      <c r="S668" s="84"/>
      <c r="T668" s="84"/>
      <c r="U668" s="84"/>
      <c r="V668" s="84"/>
      <c r="W668" s="84"/>
      <c r="Y668" s="84"/>
      <c r="Z668" s="84"/>
      <c r="AA668" s="84"/>
      <c r="AB668" s="84"/>
      <c r="AC668" s="84"/>
      <c r="AD668" s="84"/>
      <c r="AE668" s="84"/>
      <c r="AF668" s="84"/>
      <c r="AG668" s="84"/>
      <c r="AH668" s="84"/>
      <c r="AI668" s="84"/>
      <c r="AL668" s="84"/>
      <c r="AM668" s="84"/>
      <c r="AN668" s="84"/>
      <c r="AO668" s="84"/>
      <c r="AP668" s="84"/>
      <c r="AQ668" s="84"/>
      <c r="AR668" s="84"/>
      <c r="AS668" s="84"/>
      <c r="AT668" s="84"/>
      <c r="AU668" s="84"/>
      <c r="AV668" s="84"/>
      <c r="AY668" s="84"/>
      <c r="AZ668" s="84"/>
      <c r="BA668" s="84"/>
      <c r="BB668" s="84"/>
      <c r="BC668" s="84"/>
      <c r="BD668" s="84"/>
      <c r="BE668" s="84"/>
      <c r="BF668" s="942"/>
      <c r="BG668" s="942"/>
      <c r="BH668" s="942"/>
      <c r="BI668" s="84"/>
      <c r="BL668" s="84"/>
      <c r="BM668" s="84"/>
      <c r="BN668" s="84"/>
      <c r="BO668" s="84"/>
      <c r="BP668" s="84"/>
      <c r="BQ668" s="84"/>
      <c r="BR668" s="84"/>
      <c r="BS668" s="942"/>
      <c r="BT668" s="942"/>
      <c r="BU668" s="942"/>
      <c r="BV668" s="84"/>
    </row>
    <row r="669" spans="14:74" ht="14.25">
      <c r="N669" s="84"/>
      <c r="O669" s="84"/>
      <c r="P669" s="84"/>
      <c r="Q669" s="84"/>
      <c r="R669" s="84"/>
      <c r="S669" s="84"/>
      <c r="T669" s="84"/>
      <c r="U669" s="84"/>
      <c r="V669" s="84"/>
      <c r="W669" s="84"/>
      <c r="Y669" s="84"/>
      <c r="Z669" s="84"/>
      <c r="AA669" s="84"/>
      <c r="AB669" s="84"/>
      <c r="AC669" s="84"/>
      <c r="AD669" s="84"/>
      <c r="AE669" s="84"/>
      <c r="AF669" s="84"/>
      <c r="AG669" s="84"/>
      <c r="AH669" s="84"/>
      <c r="AI669" s="84"/>
      <c r="AL669" s="84"/>
      <c r="AM669" s="84"/>
      <c r="AN669" s="84"/>
      <c r="AO669" s="84"/>
      <c r="AP669" s="84"/>
      <c r="AQ669" s="84"/>
      <c r="AR669" s="84"/>
      <c r="AS669" s="84"/>
      <c r="AT669" s="84"/>
      <c r="AU669" s="84"/>
      <c r="AV669" s="84"/>
      <c r="AY669" s="84"/>
      <c r="AZ669" s="84"/>
      <c r="BA669" s="84"/>
      <c r="BB669" s="84"/>
      <c r="BC669" s="84"/>
      <c r="BD669" s="84"/>
      <c r="BE669" s="84"/>
      <c r="BF669" s="942"/>
      <c r="BG669" s="942"/>
      <c r="BH669" s="942"/>
      <c r="BI669" s="84"/>
      <c r="BL669" s="84"/>
      <c r="BM669" s="84"/>
      <c r="BN669" s="84"/>
      <c r="BO669" s="84"/>
      <c r="BP669" s="84"/>
      <c r="BQ669" s="84"/>
      <c r="BR669" s="84"/>
      <c r="BS669" s="942"/>
      <c r="BT669" s="942"/>
      <c r="BU669" s="942"/>
      <c r="BV669" s="84"/>
    </row>
    <row r="670" spans="14:74" ht="14.25">
      <c r="N670" s="84"/>
      <c r="O670" s="84"/>
      <c r="P670" s="84"/>
      <c r="Q670" s="84"/>
      <c r="R670" s="84"/>
      <c r="S670" s="84"/>
      <c r="T670" s="84"/>
      <c r="U670" s="84"/>
      <c r="V670" s="84"/>
      <c r="W670" s="84"/>
      <c r="Y670" s="84"/>
      <c r="Z670" s="84"/>
      <c r="AA670" s="84"/>
      <c r="AB670" s="84"/>
      <c r="AC670" s="84"/>
      <c r="AD670" s="84"/>
      <c r="AE670" s="84"/>
      <c r="AF670" s="84"/>
      <c r="AG670" s="84"/>
      <c r="AH670" s="84"/>
      <c r="AI670" s="84"/>
      <c r="AL670" s="84"/>
      <c r="AM670" s="84"/>
      <c r="AN670" s="84"/>
      <c r="AO670" s="84"/>
      <c r="AP670" s="84"/>
      <c r="AQ670" s="84"/>
      <c r="AR670" s="84"/>
      <c r="AS670" s="84"/>
      <c r="AT670" s="84"/>
      <c r="AU670" s="84"/>
      <c r="AV670" s="84"/>
      <c r="AY670" s="84"/>
      <c r="AZ670" s="84"/>
      <c r="BA670" s="84"/>
      <c r="BB670" s="84"/>
      <c r="BC670" s="84"/>
      <c r="BD670" s="84"/>
      <c r="BE670" s="84"/>
      <c r="BF670" s="942"/>
      <c r="BG670" s="942"/>
      <c r="BH670" s="942"/>
      <c r="BI670" s="84"/>
      <c r="BL670" s="84"/>
      <c r="BM670" s="84"/>
      <c r="BN670" s="84"/>
      <c r="BO670" s="84"/>
      <c r="BP670" s="84"/>
      <c r="BQ670" s="84"/>
      <c r="BR670" s="84"/>
      <c r="BS670" s="942"/>
      <c r="BT670" s="942"/>
      <c r="BU670" s="942"/>
      <c r="BV670" s="84"/>
    </row>
    <row r="671" spans="14:74" ht="14.25">
      <c r="N671" s="84"/>
      <c r="O671" s="84"/>
      <c r="P671" s="84"/>
      <c r="Q671" s="84"/>
      <c r="R671" s="84"/>
      <c r="S671" s="84"/>
      <c r="T671" s="84"/>
      <c r="U671" s="84"/>
      <c r="V671" s="84"/>
      <c r="W671" s="84"/>
      <c r="Y671" s="84"/>
      <c r="Z671" s="84"/>
      <c r="AA671" s="84"/>
      <c r="AB671" s="84"/>
      <c r="AC671" s="84"/>
      <c r="AD671" s="84"/>
      <c r="AE671" s="84"/>
      <c r="AF671" s="84"/>
      <c r="AG671" s="84"/>
      <c r="AH671" s="84"/>
      <c r="AI671" s="84"/>
      <c r="AL671" s="84"/>
      <c r="AM671" s="84"/>
      <c r="AN671" s="84"/>
      <c r="AO671" s="84"/>
      <c r="AP671" s="84"/>
      <c r="AQ671" s="84"/>
      <c r="AR671" s="84"/>
      <c r="AS671" s="84"/>
      <c r="AT671" s="84"/>
      <c r="AU671" s="84"/>
      <c r="AV671" s="84"/>
      <c r="AY671" s="84"/>
      <c r="AZ671" s="84"/>
      <c r="BA671" s="84"/>
      <c r="BB671" s="84"/>
      <c r="BC671" s="84"/>
      <c r="BD671" s="84"/>
      <c r="BE671" s="84"/>
      <c r="BF671" s="942"/>
      <c r="BG671" s="942"/>
      <c r="BH671" s="942"/>
      <c r="BI671" s="84"/>
      <c r="BL671" s="84"/>
      <c r="BM671" s="84"/>
      <c r="BN671" s="84"/>
      <c r="BO671" s="84"/>
      <c r="BP671" s="84"/>
      <c r="BQ671" s="84"/>
      <c r="BR671" s="84"/>
      <c r="BS671" s="942"/>
      <c r="BT671" s="942"/>
      <c r="BU671" s="942"/>
      <c r="BV671" s="84"/>
    </row>
    <row r="672" spans="14:74" ht="14.25">
      <c r="N672" s="84"/>
      <c r="O672" s="84"/>
      <c r="P672" s="84"/>
      <c r="Q672" s="84"/>
      <c r="R672" s="84"/>
      <c r="S672" s="84"/>
      <c r="T672" s="84"/>
      <c r="U672" s="84"/>
      <c r="V672" s="84"/>
      <c r="W672" s="84"/>
      <c r="Y672" s="84"/>
      <c r="Z672" s="84"/>
      <c r="AA672" s="84"/>
      <c r="AB672" s="84"/>
      <c r="AC672" s="84"/>
      <c r="AD672" s="84"/>
      <c r="AE672" s="84"/>
      <c r="AF672" s="84"/>
      <c r="AG672" s="84"/>
      <c r="AH672" s="84"/>
      <c r="AI672" s="84"/>
      <c r="AL672" s="84"/>
      <c r="AM672" s="84"/>
      <c r="AN672" s="84"/>
      <c r="AO672" s="84"/>
      <c r="AP672" s="84"/>
      <c r="AQ672" s="84"/>
      <c r="AR672" s="84"/>
      <c r="AS672" s="84"/>
      <c r="AT672" s="84"/>
      <c r="AU672" s="84"/>
      <c r="AV672" s="84"/>
      <c r="AY672" s="84"/>
      <c r="AZ672" s="84"/>
      <c r="BA672" s="84"/>
      <c r="BB672" s="84"/>
      <c r="BC672" s="84"/>
      <c r="BD672" s="84"/>
      <c r="BE672" s="84"/>
      <c r="BF672" s="942"/>
      <c r="BG672" s="942"/>
      <c r="BH672" s="942"/>
      <c r="BI672" s="84"/>
      <c r="BL672" s="84"/>
      <c r="BM672" s="84"/>
      <c r="BN672" s="84"/>
      <c r="BO672" s="84"/>
      <c r="BP672" s="84"/>
      <c r="BQ672" s="84"/>
      <c r="BR672" s="84"/>
      <c r="BS672" s="942"/>
      <c r="BT672" s="942"/>
      <c r="BU672" s="942"/>
      <c r="BV672" s="84"/>
    </row>
    <row r="673" spans="14:74" ht="14.25">
      <c r="N673" s="84"/>
      <c r="O673" s="84"/>
      <c r="P673" s="84"/>
      <c r="Q673" s="84"/>
      <c r="R673" s="84"/>
      <c r="S673" s="84"/>
      <c r="T673" s="84"/>
      <c r="U673" s="84"/>
      <c r="V673" s="84"/>
      <c r="W673" s="84"/>
      <c r="Y673" s="84"/>
      <c r="Z673" s="84"/>
      <c r="AA673" s="84"/>
      <c r="AB673" s="84"/>
      <c r="AC673" s="84"/>
      <c r="AD673" s="84"/>
      <c r="AE673" s="84"/>
      <c r="AF673" s="84"/>
      <c r="AG673" s="84"/>
      <c r="AH673" s="84"/>
      <c r="AI673" s="84"/>
      <c r="AL673" s="84"/>
      <c r="AM673" s="84"/>
      <c r="AN673" s="84"/>
      <c r="AO673" s="84"/>
      <c r="AP673" s="84"/>
      <c r="AQ673" s="84"/>
      <c r="AR673" s="84"/>
      <c r="AS673" s="84"/>
      <c r="AT673" s="84"/>
      <c r="AU673" s="84"/>
      <c r="AV673" s="84"/>
      <c r="AY673" s="84"/>
      <c r="AZ673" s="84"/>
      <c r="BA673" s="84"/>
      <c r="BB673" s="84"/>
      <c r="BC673" s="84"/>
      <c r="BD673" s="84"/>
      <c r="BE673" s="84"/>
      <c r="BF673" s="942"/>
      <c r="BG673" s="942"/>
      <c r="BH673" s="942"/>
      <c r="BI673" s="84"/>
      <c r="BL673" s="84"/>
      <c r="BM673" s="84"/>
      <c r="BN673" s="84"/>
      <c r="BO673" s="84"/>
      <c r="BP673" s="84"/>
      <c r="BQ673" s="84"/>
      <c r="BR673" s="84"/>
      <c r="BS673" s="942"/>
      <c r="BT673" s="942"/>
      <c r="BU673" s="942"/>
      <c r="BV673" s="84"/>
    </row>
    <row r="674" spans="14:74" ht="14.25">
      <c r="N674" s="84"/>
      <c r="O674" s="84"/>
      <c r="P674" s="84"/>
      <c r="Q674" s="84"/>
      <c r="R674" s="84"/>
      <c r="S674" s="84"/>
      <c r="T674" s="84"/>
      <c r="U674" s="84"/>
      <c r="V674" s="84"/>
      <c r="W674" s="84"/>
      <c r="Y674" s="84"/>
      <c r="Z674" s="84"/>
      <c r="AA674" s="84"/>
      <c r="AB674" s="84"/>
      <c r="AC674" s="84"/>
      <c r="AD674" s="84"/>
      <c r="AE674" s="84"/>
      <c r="AF674" s="84"/>
      <c r="AG674" s="84"/>
      <c r="AH674" s="84"/>
      <c r="AI674" s="84"/>
      <c r="AL674" s="84"/>
      <c r="AM674" s="84"/>
      <c r="AN674" s="84"/>
      <c r="AO674" s="84"/>
      <c r="AP674" s="84"/>
      <c r="AQ674" s="84"/>
      <c r="AR674" s="84"/>
      <c r="AS674" s="84"/>
      <c r="AT674" s="84"/>
      <c r="AU674" s="84"/>
      <c r="AV674" s="84"/>
      <c r="AY674" s="84"/>
      <c r="AZ674" s="84"/>
      <c r="BA674" s="84"/>
      <c r="BB674" s="84"/>
      <c r="BC674" s="84"/>
      <c r="BD674" s="84"/>
      <c r="BE674" s="84"/>
      <c r="BF674" s="942"/>
      <c r="BG674" s="942"/>
      <c r="BH674" s="942"/>
      <c r="BI674" s="84"/>
      <c r="BL674" s="84"/>
      <c r="BM674" s="84"/>
      <c r="BN674" s="84"/>
      <c r="BO674" s="84"/>
      <c r="BP674" s="84"/>
      <c r="BQ674" s="84"/>
      <c r="BR674" s="84"/>
      <c r="BS674" s="942"/>
      <c r="BT674" s="942"/>
      <c r="BU674" s="942"/>
      <c r="BV674" s="84"/>
    </row>
    <row r="675" spans="14:74" ht="14.25">
      <c r="N675" s="84"/>
      <c r="O675" s="84"/>
      <c r="P675" s="84"/>
      <c r="Q675" s="84"/>
      <c r="R675" s="84"/>
      <c r="S675" s="84"/>
      <c r="T675" s="84"/>
      <c r="U675" s="84"/>
      <c r="V675" s="84"/>
      <c r="W675" s="84"/>
      <c r="Y675" s="84"/>
      <c r="Z675" s="84"/>
      <c r="AA675" s="84"/>
      <c r="AB675" s="84"/>
      <c r="AC675" s="84"/>
      <c r="AD675" s="84"/>
      <c r="AE675" s="84"/>
      <c r="AF675" s="84"/>
      <c r="AG675" s="84"/>
      <c r="AH675" s="84"/>
      <c r="AI675" s="84"/>
      <c r="AL675" s="84"/>
      <c r="AM675" s="84"/>
      <c r="AN675" s="84"/>
      <c r="AO675" s="84"/>
      <c r="AP675" s="84"/>
      <c r="AQ675" s="84"/>
      <c r="AR675" s="84"/>
      <c r="AS675" s="84"/>
      <c r="AT675" s="84"/>
      <c r="AU675" s="84"/>
      <c r="AV675" s="84"/>
      <c r="AY675" s="84"/>
      <c r="AZ675" s="84"/>
      <c r="BA675" s="84"/>
      <c r="BB675" s="84"/>
      <c r="BC675" s="84"/>
      <c r="BD675" s="84"/>
      <c r="BE675" s="84"/>
      <c r="BF675" s="942"/>
      <c r="BG675" s="942"/>
      <c r="BH675" s="942"/>
      <c r="BI675" s="84"/>
      <c r="BL675" s="84"/>
      <c r="BM675" s="84"/>
      <c r="BN675" s="84"/>
      <c r="BO675" s="84"/>
      <c r="BP675" s="84"/>
      <c r="BQ675" s="84"/>
      <c r="BR675" s="84"/>
      <c r="BS675" s="942"/>
      <c r="BT675" s="942"/>
      <c r="BU675" s="942"/>
      <c r="BV675" s="84"/>
    </row>
    <row r="676" spans="14:74" ht="14.25">
      <c r="N676" s="84"/>
      <c r="O676" s="84"/>
      <c r="P676" s="84"/>
      <c r="Q676" s="84"/>
      <c r="R676" s="84"/>
      <c r="S676" s="84"/>
      <c r="T676" s="84"/>
      <c r="U676" s="84"/>
      <c r="V676" s="84"/>
      <c r="W676" s="84"/>
      <c r="Y676" s="84"/>
      <c r="Z676" s="84"/>
      <c r="AA676" s="84"/>
      <c r="AB676" s="84"/>
      <c r="AC676" s="84"/>
      <c r="AD676" s="84"/>
      <c r="AE676" s="84"/>
      <c r="AF676" s="84"/>
      <c r="AG676" s="84"/>
      <c r="AH676" s="84"/>
      <c r="AI676" s="84"/>
      <c r="AL676" s="84"/>
      <c r="AM676" s="84"/>
      <c r="AN676" s="84"/>
      <c r="AO676" s="84"/>
      <c r="AP676" s="84"/>
      <c r="AQ676" s="84"/>
      <c r="AR676" s="84"/>
      <c r="AS676" s="84"/>
      <c r="AT676" s="84"/>
      <c r="AU676" s="84"/>
      <c r="AV676" s="84"/>
      <c r="AY676" s="84"/>
      <c r="AZ676" s="84"/>
      <c r="BA676" s="84"/>
      <c r="BB676" s="84"/>
      <c r="BC676" s="84"/>
      <c r="BD676" s="84"/>
      <c r="BE676" s="84"/>
      <c r="BF676" s="942"/>
      <c r="BG676" s="942"/>
      <c r="BH676" s="942"/>
      <c r="BI676" s="84"/>
      <c r="BL676" s="84"/>
      <c r="BM676" s="84"/>
      <c r="BN676" s="84"/>
      <c r="BO676" s="84"/>
      <c r="BP676" s="84"/>
      <c r="BQ676" s="84"/>
      <c r="BR676" s="84"/>
      <c r="BS676" s="942"/>
      <c r="BT676" s="942"/>
      <c r="BU676" s="942"/>
      <c r="BV676" s="84"/>
    </row>
    <row r="677" spans="14:74" ht="14.25">
      <c r="N677" s="84"/>
      <c r="O677" s="84"/>
      <c r="P677" s="84"/>
      <c r="Q677" s="84"/>
      <c r="R677" s="84"/>
      <c r="S677" s="84"/>
      <c r="T677" s="84"/>
      <c r="U677" s="84"/>
      <c r="V677" s="84"/>
      <c r="W677" s="84"/>
      <c r="Y677" s="84"/>
      <c r="Z677" s="84"/>
      <c r="AA677" s="84"/>
      <c r="AB677" s="84"/>
      <c r="AC677" s="84"/>
      <c r="AD677" s="84"/>
      <c r="AE677" s="84"/>
      <c r="AF677" s="84"/>
      <c r="AG677" s="84"/>
      <c r="AH677" s="84"/>
      <c r="AI677" s="84"/>
      <c r="AL677" s="84"/>
      <c r="AM677" s="84"/>
      <c r="AN677" s="84"/>
      <c r="AO677" s="84"/>
      <c r="AP677" s="84"/>
      <c r="AQ677" s="84"/>
      <c r="AR677" s="84"/>
      <c r="AS677" s="84"/>
      <c r="AT677" s="84"/>
      <c r="AU677" s="84"/>
      <c r="AV677" s="84"/>
      <c r="AY677" s="84"/>
      <c r="AZ677" s="84"/>
      <c r="BA677" s="84"/>
      <c r="BB677" s="84"/>
      <c r="BC677" s="84"/>
      <c r="BD677" s="84"/>
      <c r="BE677" s="84"/>
      <c r="BF677" s="942"/>
      <c r="BG677" s="942"/>
      <c r="BH677" s="942"/>
      <c r="BI677" s="84"/>
      <c r="BL677" s="84"/>
      <c r="BM677" s="84"/>
      <c r="BN677" s="84"/>
      <c r="BO677" s="84"/>
      <c r="BP677" s="84"/>
      <c r="BQ677" s="84"/>
      <c r="BR677" s="84"/>
      <c r="BS677" s="942"/>
      <c r="BT677" s="942"/>
      <c r="BU677" s="942"/>
      <c r="BV677" s="84"/>
    </row>
    <row r="678" spans="14:74" ht="14.25">
      <c r="N678" s="84"/>
      <c r="O678" s="84"/>
      <c r="P678" s="84"/>
      <c r="Q678" s="84"/>
      <c r="R678" s="84"/>
      <c r="S678" s="84"/>
      <c r="T678" s="84"/>
      <c r="U678" s="84"/>
      <c r="V678" s="84"/>
      <c r="W678" s="84"/>
      <c r="Y678" s="84"/>
      <c r="Z678" s="84"/>
      <c r="AA678" s="84"/>
      <c r="AB678" s="84"/>
      <c r="AC678" s="84"/>
      <c r="AD678" s="84"/>
      <c r="AE678" s="84"/>
      <c r="AF678" s="84"/>
      <c r="AG678" s="84"/>
      <c r="AH678" s="84"/>
      <c r="AI678" s="84"/>
      <c r="AL678" s="84"/>
      <c r="AM678" s="84"/>
      <c r="AN678" s="84"/>
      <c r="AO678" s="84"/>
      <c r="AP678" s="84"/>
      <c r="AQ678" s="84"/>
      <c r="AR678" s="84"/>
      <c r="AS678" s="84"/>
      <c r="AT678" s="84"/>
      <c r="AU678" s="84"/>
      <c r="AV678" s="84"/>
      <c r="AY678" s="84"/>
      <c r="AZ678" s="84"/>
      <c r="BA678" s="84"/>
      <c r="BB678" s="84"/>
      <c r="BC678" s="84"/>
      <c r="BD678" s="84"/>
      <c r="BE678" s="84"/>
      <c r="BF678" s="942"/>
      <c r="BG678" s="942"/>
      <c r="BH678" s="942"/>
      <c r="BI678" s="84"/>
      <c r="BL678" s="84"/>
      <c r="BM678" s="84"/>
      <c r="BN678" s="84"/>
      <c r="BO678" s="84"/>
      <c r="BP678" s="84"/>
      <c r="BQ678" s="84"/>
      <c r="BR678" s="84"/>
      <c r="BS678" s="942"/>
      <c r="BT678" s="942"/>
      <c r="BU678" s="942"/>
      <c r="BV678" s="84"/>
    </row>
    <row r="679" spans="14:74" ht="14.25">
      <c r="N679" s="84"/>
      <c r="O679" s="84"/>
      <c r="P679" s="84"/>
      <c r="Q679" s="84"/>
      <c r="R679" s="84"/>
      <c r="S679" s="84"/>
      <c r="T679" s="84"/>
      <c r="U679" s="84"/>
      <c r="V679" s="84"/>
      <c r="W679" s="84"/>
      <c r="Y679" s="84"/>
      <c r="Z679" s="84"/>
      <c r="AA679" s="84"/>
      <c r="AB679" s="84"/>
      <c r="AC679" s="84"/>
      <c r="AD679" s="84"/>
      <c r="AE679" s="84"/>
      <c r="AF679" s="84"/>
      <c r="AG679" s="84"/>
      <c r="AH679" s="84"/>
      <c r="AI679" s="84"/>
      <c r="AL679" s="84"/>
      <c r="AM679" s="84"/>
      <c r="AN679" s="84"/>
      <c r="AO679" s="84"/>
      <c r="AP679" s="84"/>
      <c r="AQ679" s="84"/>
      <c r="AR679" s="84"/>
      <c r="AS679" s="84"/>
      <c r="AT679" s="84"/>
      <c r="AU679" s="84"/>
      <c r="AV679" s="84"/>
      <c r="AY679" s="84"/>
      <c r="AZ679" s="84"/>
      <c r="BA679" s="84"/>
      <c r="BB679" s="84"/>
      <c r="BC679" s="84"/>
      <c r="BD679" s="84"/>
      <c r="BE679" s="84"/>
      <c r="BF679" s="942"/>
      <c r="BG679" s="942"/>
      <c r="BH679" s="942"/>
      <c r="BI679" s="84"/>
      <c r="BL679" s="84"/>
      <c r="BM679" s="84"/>
      <c r="BN679" s="84"/>
      <c r="BO679" s="84"/>
      <c r="BP679" s="84"/>
      <c r="BQ679" s="84"/>
      <c r="BR679" s="84"/>
      <c r="BS679" s="942"/>
      <c r="BT679" s="942"/>
      <c r="BU679" s="942"/>
      <c r="BV679" s="84"/>
    </row>
    <row r="680" spans="14:74" ht="14.25">
      <c r="N680" s="84"/>
      <c r="O680" s="84"/>
      <c r="P680" s="84"/>
      <c r="Q680" s="84"/>
      <c r="R680" s="84"/>
      <c r="S680" s="84"/>
      <c r="T680" s="84"/>
      <c r="U680" s="84"/>
      <c r="V680" s="84"/>
      <c r="W680" s="84"/>
      <c r="Y680" s="84"/>
      <c r="Z680" s="84"/>
      <c r="AA680" s="84"/>
      <c r="AB680" s="84"/>
      <c r="AC680" s="84"/>
      <c r="AD680" s="84"/>
      <c r="AE680" s="84"/>
      <c r="AF680" s="84"/>
      <c r="AG680" s="84"/>
      <c r="AH680" s="84"/>
      <c r="AI680" s="84"/>
      <c r="AL680" s="84"/>
      <c r="AM680" s="84"/>
      <c r="AN680" s="84"/>
      <c r="AO680" s="84"/>
      <c r="AP680" s="84"/>
      <c r="AQ680" s="84"/>
      <c r="AR680" s="84"/>
      <c r="AS680" s="84"/>
      <c r="AT680" s="84"/>
      <c r="AU680" s="84"/>
      <c r="AV680" s="84"/>
      <c r="AY680" s="84"/>
      <c r="AZ680" s="84"/>
      <c r="BA680" s="84"/>
      <c r="BB680" s="84"/>
      <c r="BC680" s="84"/>
      <c r="BD680" s="84"/>
      <c r="BE680" s="84"/>
      <c r="BF680" s="942"/>
      <c r="BG680" s="942"/>
      <c r="BH680" s="942"/>
      <c r="BI680" s="84"/>
      <c r="BL680" s="84"/>
      <c r="BM680" s="84"/>
      <c r="BN680" s="84"/>
      <c r="BO680" s="84"/>
      <c r="BP680" s="84"/>
      <c r="BQ680" s="84"/>
      <c r="BR680" s="84"/>
      <c r="BS680" s="942"/>
      <c r="BT680" s="942"/>
      <c r="BU680" s="942"/>
      <c r="BV680" s="84"/>
    </row>
    <row r="681" spans="14:74" ht="14.25">
      <c r="N681" s="84"/>
      <c r="O681" s="84"/>
      <c r="P681" s="84"/>
      <c r="Q681" s="84"/>
      <c r="R681" s="84"/>
      <c r="S681" s="84"/>
      <c r="T681" s="84"/>
      <c r="U681" s="84"/>
      <c r="V681" s="84"/>
      <c r="W681" s="84"/>
      <c r="Y681" s="84"/>
      <c r="Z681" s="84"/>
      <c r="AA681" s="84"/>
      <c r="AB681" s="84"/>
      <c r="AC681" s="84"/>
      <c r="AD681" s="84"/>
      <c r="AE681" s="84"/>
      <c r="AF681" s="84"/>
      <c r="AG681" s="84"/>
      <c r="AH681" s="84"/>
      <c r="AI681" s="84"/>
      <c r="AL681" s="84"/>
      <c r="AM681" s="84"/>
      <c r="AN681" s="84"/>
      <c r="AO681" s="84"/>
      <c r="AP681" s="84"/>
      <c r="AQ681" s="84"/>
      <c r="AR681" s="84"/>
      <c r="AS681" s="84"/>
      <c r="AT681" s="84"/>
      <c r="AU681" s="84"/>
      <c r="AV681" s="84"/>
      <c r="AY681" s="84"/>
      <c r="AZ681" s="84"/>
      <c r="BA681" s="84"/>
      <c r="BB681" s="84"/>
      <c r="BC681" s="84"/>
      <c r="BD681" s="84"/>
      <c r="BE681" s="84"/>
      <c r="BF681" s="942"/>
      <c r="BG681" s="942"/>
      <c r="BH681" s="942"/>
      <c r="BI681" s="84"/>
      <c r="BL681" s="84"/>
      <c r="BM681" s="84"/>
      <c r="BN681" s="84"/>
      <c r="BO681" s="84"/>
      <c r="BP681" s="84"/>
      <c r="BQ681" s="84"/>
      <c r="BR681" s="84"/>
      <c r="BS681" s="942"/>
      <c r="BT681" s="942"/>
      <c r="BU681" s="942"/>
      <c r="BV681" s="84"/>
    </row>
    <row r="682" spans="14:74" ht="14.25">
      <c r="N682" s="84"/>
      <c r="O682" s="84"/>
      <c r="P682" s="84"/>
      <c r="Q682" s="84"/>
      <c r="R682" s="84"/>
      <c r="S682" s="84"/>
      <c r="T682" s="84"/>
      <c r="U682" s="84"/>
      <c r="V682" s="84"/>
      <c r="W682" s="84"/>
      <c r="Y682" s="84"/>
      <c r="Z682" s="84"/>
      <c r="AA682" s="84"/>
      <c r="AB682" s="84"/>
      <c r="AC682" s="84"/>
      <c r="AD682" s="84"/>
      <c r="AE682" s="84"/>
      <c r="AF682" s="84"/>
      <c r="AG682" s="84"/>
      <c r="AH682" s="84"/>
      <c r="AI682" s="84"/>
      <c r="AL682" s="84"/>
      <c r="AM682" s="84"/>
      <c r="AN682" s="84"/>
      <c r="AO682" s="84"/>
      <c r="AP682" s="84"/>
      <c r="AQ682" s="84"/>
      <c r="AR682" s="84"/>
      <c r="AS682" s="84"/>
      <c r="AT682" s="84"/>
      <c r="AU682" s="84"/>
      <c r="AV682" s="84"/>
      <c r="AY682" s="84"/>
      <c r="AZ682" s="84"/>
      <c r="BA682" s="84"/>
      <c r="BB682" s="84"/>
      <c r="BC682" s="84"/>
      <c r="BD682" s="84"/>
      <c r="BE682" s="84"/>
      <c r="BF682" s="942"/>
      <c r="BG682" s="942"/>
      <c r="BH682" s="942"/>
      <c r="BI682" s="84"/>
      <c r="BL682" s="84"/>
      <c r="BM682" s="84"/>
      <c r="BN682" s="84"/>
      <c r="BO682" s="84"/>
      <c r="BP682" s="84"/>
      <c r="BQ682" s="84"/>
      <c r="BR682" s="84"/>
      <c r="BS682" s="942"/>
      <c r="BT682" s="942"/>
      <c r="BU682" s="942"/>
      <c r="BV682" s="84"/>
    </row>
    <row r="683" spans="14:74" ht="14.25">
      <c r="N683" s="84"/>
      <c r="O683" s="84"/>
      <c r="P683" s="84"/>
      <c r="Q683" s="84"/>
      <c r="R683" s="84"/>
      <c r="S683" s="84"/>
      <c r="T683" s="84"/>
      <c r="U683" s="84"/>
      <c r="V683" s="84"/>
      <c r="W683" s="84"/>
      <c r="Y683" s="84"/>
      <c r="Z683" s="84"/>
      <c r="AA683" s="84"/>
      <c r="AB683" s="84"/>
      <c r="AC683" s="84"/>
      <c r="AD683" s="84"/>
      <c r="AE683" s="84"/>
      <c r="AF683" s="84"/>
      <c r="AG683" s="84"/>
      <c r="AH683" s="84"/>
      <c r="AI683" s="84"/>
      <c r="AL683" s="84"/>
      <c r="AM683" s="84"/>
      <c r="AN683" s="84"/>
      <c r="AO683" s="84"/>
      <c r="AP683" s="84"/>
      <c r="AQ683" s="84"/>
      <c r="AR683" s="84"/>
      <c r="AS683" s="84"/>
      <c r="AT683" s="84"/>
      <c r="AU683" s="84"/>
      <c r="AV683" s="84"/>
      <c r="AY683" s="84"/>
      <c r="AZ683" s="84"/>
      <c r="BA683" s="84"/>
      <c r="BB683" s="84"/>
      <c r="BC683" s="84"/>
      <c r="BD683" s="84"/>
      <c r="BE683" s="84"/>
      <c r="BF683" s="942"/>
      <c r="BG683" s="942"/>
      <c r="BH683" s="942"/>
      <c r="BI683" s="84"/>
      <c r="BL683" s="84"/>
      <c r="BM683" s="84"/>
      <c r="BN683" s="84"/>
      <c r="BO683" s="84"/>
      <c r="BP683" s="84"/>
      <c r="BQ683" s="84"/>
      <c r="BR683" s="84"/>
      <c r="BS683" s="942"/>
      <c r="BT683" s="942"/>
      <c r="BU683" s="942"/>
      <c r="BV683" s="84"/>
    </row>
    <row r="684" spans="14:74" ht="14.25">
      <c r="N684" s="84"/>
      <c r="O684" s="84"/>
      <c r="P684" s="84"/>
      <c r="Q684" s="84"/>
      <c r="R684" s="84"/>
      <c r="S684" s="84"/>
      <c r="T684" s="84"/>
      <c r="U684" s="84"/>
      <c r="V684" s="84"/>
      <c r="W684" s="84"/>
      <c r="Y684" s="84"/>
      <c r="Z684" s="84"/>
      <c r="AA684" s="84"/>
      <c r="AB684" s="84"/>
      <c r="AC684" s="84"/>
      <c r="AD684" s="84"/>
      <c r="AE684" s="84"/>
      <c r="AF684" s="84"/>
      <c r="AG684" s="84"/>
      <c r="AH684" s="84"/>
      <c r="AI684" s="84"/>
      <c r="AL684" s="84"/>
      <c r="AM684" s="84"/>
      <c r="AN684" s="84"/>
      <c r="AO684" s="84"/>
      <c r="AP684" s="84"/>
      <c r="AQ684" s="84"/>
      <c r="AR684" s="84"/>
      <c r="AS684" s="84"/>
      <c r="AT684" s="84"/>
      <c r="AU684" s="84"/>
      <c r="AV684" s="84"/>
      <c r="AY684" s="84"/>
      <c r="AZ684" s="84"/>
      <c r="BA684" s="84"/>
      <c r="BB684" s="84"/>
      <c r="BC684" s="84"/>
      <c r="BD684" s="84"/>
      <c r="BE684" s="84"/>
      <c r="BF684" s="942"/>
      <c r="BG684" s="942"/>
      <c r="BH684" s="942"/>
      <c r="BI684" s="84"/>
      <c r="BL684" s="84"/>
      <c r="BM684" s="84"/>
      <c r="BN684" s="84"/>
      <c r="BO684" s="84"/>
      <c r="BP684" s="84"/>
      <c r="BQ684" s="84"/>
      <c r="BR684" s="84"/>
      <c r="BS684" s="942"/>
      <c r="BT684" s="942"/>
      <c r="BU684" s="942"/>
      <c r="BV684" s="84"/>
    </row>
    <row r="685" spans="14:74" ht="14.25">
      <c r="N685" s="84"/>
      <c r="O685" s="84"/>
      <c r="P685" s="84"/>
      <c r="Q685" s="84"/>
      <c r="R685" s="84"/>
      <c r="S685" s="84"/>
      <c r="T685" s="84"/>
      <c r="U685" s="84"/>
      <c r="V685" s="84"/>
      <c r="W685" s="84"/>
      <c r="Y685" s="84"/>
      <c r="Z685" s="84"/>
      <c r="AA685" s="84"/>
      <c r="AB685" s="84"/>
      <c r="AC685" s="84"/>
      <c r="AD685" s="84"/>
      <c r="AE685" s="84"/>
      <c r="AF685" s="84"/>
      <c r="AG685" s="84"/>
      <c r="AH685" s="84"/>
      <c r="AI685" s="84"/>
      <c r="AL685" s="84"/>
      <c r="AM685" s="84"/>
      <c r="AN685" s="84"/>
      <c r="AO685" s="84"/>
      <c r="AP685" s="84"/>
      <c r="AQ685" s="84"/>
      <c r="AR685" s="84"/>
      <c r="AS685" s="84"/>
      <c r="AT685" s="84"/>
      <c r="AU685" s="84"/>
      <c r="AV685" s="84"/>
      <c r="AY685" s="84"/>
      <c r="AZ685" s="84"/>
      <c r="BA685" s="84"/>
      <c r="BB685" s="84"/>
      <c r="BC685" s="84"/>
      <c r="BD685" s="84"/>
      <c r="BE685" s="84"/>
      <c r="BF685" s="942"/>
      <c r="BG685" s="942"/>
      <c r="BH685" s="942"/>
      <c r="BI685" s="84"/>
      <c r="BL685" s="84"/>
      <c r="BM685" s="84"/>
      <c r="BN685" s="84"/>
      <c r="BO685" s="84"/>
      <c r="BP685" s="84"/>
      <c r="BQ685" s="84"/>
      <c r="BR685" s="84"/>
      <c r="BS685" s="942"/>
      <c r="BT685" s="942"/>
      <c r="BU685" s="942"/>
      <c r="BV685" s="84"/>
    </row>
    <row r="686" spans="14:74" ht="14.25">
      <c r="N686" s="84"/>
      <c r="O686" s="84"/>
      <c r="P686" s="84"/>
      <c r="Q686" s="84"/>
      <c r="R686" s="84"/>
      <c r="S686" s="84"/>
      <c r="T686" s="84"/>
      <c r="U686" s="84"/>
      <c r="V686" s="84"/>
      <c r="W686" s="84"/>
      <c r="Y686" s="84"/>
      <c r="Z686" s="84"/>
      <c r="AA686" s="84"/>
      <c r="AB686" s="84"/>
      <c r="AC686" s="84"/>
      <c r="AD686" s="84"/>
      <c r="AE686" s="84"/>
      <c r="AF686" s="84"/>
      <c r="AG686" s="84"/>
      <c r="AH686" s="84"/>
      <c r="AI686" s="84"/>
      <c r="AL686" s="84"/>
      <c r="AM686" s="84"/>
      <c r="AN686" s="84"/>
      <c r="AO686" s="84"/>
      <c r="AP686" s="84"/>
      <c r="AQ686" s="84"/>
      <c r="AR686" s="84"/>
      <c r="AS686" s="84"/>
      <c r="AT686" s="84"/>
      <c r="AU686" s="84"/>
      <c r="AV686" s="84"/>
      <c r="AY686" s="84"/>
      <c r="AZ686" s="84"/>
      <c r="BA686" s="84"/>
      <c r="BB686" s="84"/>
      <c r="BC686" s="84"/>
      <c r="BD686" s="84"/>
      <c r="BE686" s="84"/>
      <c r="BF686" s="942"/>
      <c r="BG686" s="942"/>
      <c r="BH686" s="942"/>
      <c r="BI686" s="84"/>
      <c r="BL686" s="84"/>
      <c r="BM686" s="84"/>
      <c r="BN686" s="84"/>
      <c r="BO686" s="84"/>
      <c r="BP686" s="84"/>
      <c r="BQ686" s="84"/>
      <c r="BR686" s="84"/>
      <c r="BS686" s="942"/>
      <c r="BT686" s="942"/>
      <c r="BU686" s="942"/>
      <c r="BV686" s="84"/>
    </row>
    <row r="687" spans="14:74" ht="14.25">
      <c r="N687" s="84"/>
      <c r="O687" s="84"/>
      <c r="P687" s="84"/>
      <c r="Q687" s="84"/>
      <c r="R687" s="84"/>
      <c r="S687" s="84"/>
      <c r="T687" s="84"/>
      <c r="U687" s="84"/>
      <c r="V687" s="84"/>
      <c r="W687" s="84"/>
      <c r="Y687" s="84"/>
      <c r="Z687" s="84"/>
      <c r="AA687" s="84"/>
      <c r="AB687" s="84"/>
      <c r="AC687" s="84"/>
      <c r="AD687" s="84"/>
      <c r="AE687" s="84"/>
      <c r="AF687" s="84"/>
      <c r="AG687" s="84"/>
      <c r="AH687" s="84"/>
      <c r="AI687" s="84"/>
      <c r="AL687" s="84"/>
      <c r="AM687" s="84"/>
      <c r="AN687" s="84"/>
      <c r="AO687" s="84"/>
      <c r="AP687" s="84"/>
      <c r="AQ687" s="84"/>
      <c r="AR687" s="84"/>
      <c r="AS687" s="84"/>
      <c r="AT687" s="84"/>
      <c r="AU687" s="84"/>
      <c r="AV687" s="84"/>
      <c r="AY687" s="84"/>
      <c r="AZ687" s="84"/>
      <c r="BA687" s="84"/>
      <c r="BB687" s="84"/>
      <c r="BC687" s="84"/>
      <c r="BD687" s="84"/>
      <c r="BE687" s="84"/>
      <c r="BF687" s="942"/>
      <c r="BG687" s="942"/>
      <c r="BH687" s="942"/>
      <c r="BI687" s="84"/>
      <c r="BL687" s="84"/>
      <c r="BM687" s="84"/>
      <c r="BN687" s="84"/>
      <c r="BO687" s="84"/>
      <c r="BP687" s="84"/>
      <c r="BQ687" s="84"/>
      <c r="BR687" s="84"/>
      <c r="BS687" s="942"/>
      <c r="BT687" s="942"/>
      <c r="BU687" s="942"/>
      <c r="BV687" s="84"/>
    </row>
    <row r="688" spans="14:74" ht="14.25">
      <c r="N688" s="84"/>
      <c r="O688" s="84"/>
      <c r="P688" s="84"/>
      <c r="Q688" s="84"/>
      <c r="R688" s="84"/>
      <c r="S688" s="84"/>
      <c r="T688" s="84"/>
      <c r="U688" s="84"/>
      <c r="V688" s="84"/>
      <c r="W688" s="84"/>
      <c r="Y688" s="84"/>
      <c r="Z688" s="84"/>
      <c r="AA688" s="84"/>
      <c r="AB688" s="84"/>
      <c r="AC688" s="84"/>
      <c r="AD688" s="84"/>
      <c r="AE688" s="84"/>
      <c r="AF688" s="84"/>
      <c r="AG688" s="84"/>
      <c r="AH688" s="84"/>
      <c r="AI688" s="84"/>
      <c r="AL688" s="84"/>
      <c r="AM688" s="84"/>
      <c r="AN688" s="84"/>
      <c r="AO688" s="84"/>
      <c r="AP688" s="84"/>
      <c r="AQ688" s="84"/>
      <c r="AR688" s="84"/>
      <c r="AS688" s="84"/>
      <c r="AT688" s="84"/>
      <c r="AU688" s="84"/>
      <c r="AV688" s="84"/>
      <c r="AY688" s="84"/>
      <c r="AZ688" s="84"/>
      <c r="BA688" s="84"/>
      <c r="BB688" s="84"/>
      <c r="BC688" s="84"/>
      <c r="BD688" s="84"/>
      <c r="BE688" s="84"/>
      <c r="BF688" s="942"/>
      <c r="BG688" s="942"/>
      <c r="BH688" s="942"/>
      <c r="BI688" s="84"/>
      <c r="BL688" s="84"/>
      <c r="BM688" s="84"/>
      <c r="BN688" s="84"/>
      <c r="BO688" s="84"/>
      <c r="BP688" s="84"/>
      <c r="BQ688" s="84"/>
      <c r="BR688" s="84"/>
      <c r="BS688" s="942"/>
      <c r="BT688" s="942"/>
      <c r="BU688" s="942"/>
      <c r="BV688" s="84"/>
    </row>
    <row r="689" spans="14:74" ht="14.25">
      <c r="N689" s="84"/>
      <c r="O689" s="84"/>
      <c r="P689" s="84"/>
      <c r="Q689" s="84"/>
      <c r="R689" s="84"/>
      <c r="S689" s="84"/>
      <c r="T689" s="84"/>
      <c r="U689" s="84"/>
      <c r="V689" s="84"/>
      <c r="W689" s="84"/>
      <c r="Y689" s="84"/>
      <c r="Z689" s="84"/>
      <c r="AA689" s="84"/>
      <c r="AB689" s="84"/>
      <c r="AC689" s="84"/>
      <c r="AD689" s="84"/>
      <c r="AE689" s="84"/>
      <c r="AF689" s="84"/>
      <c r="AG689" s="84"/>
      <c r="AH689" s="84"/>
      <c r="AI689" s="84"/>
      <c r="AL689" s="84"/>
      <c r="AM689" s="84"/>
      <c r="AN689" s="84"/>
      <c r="AO689" s="84"/>
      <c r="AP689" s="84"/>
      <c r="AQ689" s="84"/>
      <c r="AR689" s="84"/>
      <c r="AS689" s="84"/>
      <c r="AT689" s="84"/>
      <c r="AU689" s="84"/>
      <c r="AV689" s="84"/>
      <c r="AY689" s="84"/>
      <c r="AZ689" s="84"/>
      <c r="BA689" s="84"/>
      <c r="BB689" s="84"/>
      <c r="BC689" s="84"/>
      <c r="BD689" s="84"/>
      <c r="BE689" s="84"/>
      <c r="BF689" s="942"/>
      <c r="BG689" s="942"/>
      <c r="BH689" s="942"/>
      <c r="BI689" s="84"/>
      <c r="BL689" s="84"/>
      <c r="BM689" s="84"/>
      <c r="BN689" s="84"/>
      <c r="BO689" s="84"/>
      <c r="BP689" s="84"/>
      <c r="BQ689" s="84"/>
      <c r="BR689" s="84"/>
      <c r="BS689" s="942"/>
      <c r="BT689" s="942"/>
      <c r="BU689" s="942"/>
      <c r="BV689" s="84"/>
    </row>
    <row r="690" spans="14:74" ht="14.25">
      <c r="N690" s="84"/>
      <c r="O690" s="84"/>
      <c r="P690" s="84"/>
      <c r="Q690" s="84"/>
      <c r="R690" s="84"/>
      <c r="S690" s="84"/>
      <c r="T690" s="84"/>
      <c r="U690" s="84"/>
      <c r="V690" s="84"/>
      <c r="W690" s="84"/>
      <c r="Y690" s="84"/>
      <c r="Z690" s="84"/>
      <c r="AA690" s="84"/>
      <c r="AB690" s="84"/>
      <c r="AC690" s="84"/>
      <c r="AD690" s="84"/>
      <c r="AE690" s="84"/>
      <c r="AF690" s="84"/>
      <c r="AG690" s="84"/>
      <c r="AH690" s="84"/>
      <c r="AI690" s="84"/>
      <c r="AL690" s="84"/>
      <c r="AM690" s="84"/>
      <c r="AN690" s="84"/>
      <c r="AO690" s="84"/>
      <c r="AP690" s="84"/>
      <c r="AQ690" s="84"/>
      <c r="AR690" s="84"/>
      <c r="AS690" s="84"/>
      <c r="AT690" s="84"/>
      <c r="AU690" s="84"/>
      <c r="AV690" s="84"/>
      <c r="AY690" s="84"/>
      <c r="AZ690" s="84"/>
      <c r="BA690" s="84"/>
      <c r="BB690" s="84"/>
      <c r="BC690" s="84"/>
      <c r="BD690" s="84"/>
      <c r="BE690" s="84"/>
      <c r="BF690" s="942"/>
      <c r="BG690" s="942"/>
      <c r="BH690" s="942"/>
      <c r="BI690" s="84"/>
      <c r="BL690" s="84"/>
      <c r="BM690" s="84"/>
      <c r="BN690" s="84"/>
      <c r="BO690" s="84"/>
      <c r="BP690" s="84"/>
      <c r="BQ690" s="84"/>
      <c r="BR690" s="84"/>
      <c r="BS690" s="942"/>
      <c r="BT690" s="942"/>
      <c r="BU690" s="942"/>
      <c r="BV690" s="84"/>
    </row>
    <row r="691" spans="14:74" ht="14.25">
      <c r="N691" s="84"/>
      <c r="O691" s="84"/>
      <c r="P691" s="84"/>
      <c r="Q691" s="84"/>
      <c r="R691" s="84"/>
      <c r="S691" s="84"/>
      <c r="T691" s="84"/>
      <c r="U691" s="84"/>
      <c r="V691" s="84"/>
      <c r="W691" s="84"/>
      <c r="Y691" s="84"/>
      <c r="Z691" s="84"/>
      <c r="AA691" s="84"/>
      <c r="AB691" s="84"/>
      <c r="AC691" s="84"/>
      <c r="AD691" s="84"/>
      <c r="AE691" s="84"/>
      <c r="AF691" s="84"/>
      <c r="AG691" s="84"/>
      <c r="AH691" s="84"/>
      <c r="AI691" s="84"/>
      <c r="AL691" s="84"/>
      <c r="AM691" s="84"/>
      <c r="AN691" s="84"/>
      <c r="AO691" s="84"/>
      <c r="AP691" s="84"/>
      <c r="AQ691" s="84"/>
      <c r="AR691" s="84"/>
      <c r="AS691" s="84"/>
      <c r="AT691" s="84"/>
      <c r="AU691" s="84"/>
      <c r="AV691" s="84"/>
      <c r="AY691" s="84"/>
      <c r="AZ691" s="84"/>
      <c r="BA691" s="84"/>
      <c r="BB691" s="84"/>
      <c r="BC691" s="84"/>
      <c r="BD691" s="84"/>
      <c r="BE691" s="84"/>
      <c r="BF691" s="942"/>
      <c r="BG691" s="942"/>
      <c r="BH691" s="942"/>
      <c r="BI691" s="84"/>
      <c r="BL691" s="84"/>
      <c r="BM691" s="84"/>
      <c r="BN691" s="84"/>
      <c r="BO691" s="84"/>
      <c r="BP691" s="84"/>
      <c r="BQ691" s="84"/>
      <c r="BR691" s="84"/>
      <c r="BS691" s="942"/>
      <c r="BT691" s="942"/>
      <c r="BU691" s="942"/>
      <c r="BV691" s="84"/>
    </row>
    <row r="692" spans="14:74" ht="14.25">
      <c r="N692" s="84"/>
      <c r="O692" s="84"/>
      <c r="P692" s="84"/>
      <c r="Q692" s="84"/>
      <c r="R692" s="84"/>
      <c r="S692" s="84"/>
      <c r="T692" s="84"/>
      <c r="U692" s="84"/>
      <c r="V692" s="84"/>
      <c r="W692" s="84"/>
      <c r="Y692" s="84"/>
      <c r="Z692" s="84"/>
      <c r="AA692" s="84"/>
      <c r="AB692" s="84"/>
      <c r="AC692" s="84"/>
      <c r="AD692" s="84"/>
      <c r="AE692" s="84"/>
      <c r="AF692" s="84"/>
      <c r="AG692" s="84"/>
      <c r="AH692" s="84"/>
      <c r="AI692" s="84"/>
      <c r="AL692" s="84"/>
      <c r="AM692" s="84"/>
      <c r="AN692" s="84"/>
      <c r="AO692" s="84"/>
      <c r="AP692" s="84"/>
      <c r="AQ692" s="84"/>
      <c r="AR692" s="84"/>
      <c r="AS692" s="84"/>
      <c r="AT692" s="84"/>
      <c r="AU692" s="84"/>
      <c r="AV692" s="84"/>
      <c r="AY692" s="84"/>
      <c r="AZ692" s="84"/>
      <c r="BA692" s="84"/>
      <c r="BB692" s="84"/>
      <c r="BC692" s="84"/>
      <c r="BD692" s="84"/>
      <c r="BE692" s="84"/>
      <c r="BF692" s="942"/>
      <c r="BG692" s="942"/>
      <c r="BH692" s="942"/>
      <c r="BI692" s="84"/>
      <c r="BL692" s="84"/>
      <c r="BM692" s="84"/>
      <c r="BN692" s="84"/>
      <c r="BO692" s="84"/>
      <c r="BP692" s="84"/>
      <c r="BQ692" s="84"/>
      <c r="BR692" s="84"/>
      <c r="BS692" s="942"/>
      <c r="BT692" s="942"/>
      <c r="BU692" s="942"/>
      <c r="BV692" s="84"/>
    </row>
    <row r="693" spans="14:74" ht="14.25">
      <c r="N693" s="84"/>
      <c r="O693" s="84"/>
      <c r="P693" s="84"/>
      <c r="Q693" s="84"/>
      <c r="R693" s="84"/>
      <c r="S693" s="84"/>
      <c r="T693" s="84"/>
      <c r="U693" s="84"/>
      <c r="V693" s="84"/>
      <c r="W693" s="84"/>
      <c r="Y693" s="84"/>
      <c r="Z693" s="84"/>
      <c r="AA693" s="84"/>
      <c r="AB693" s="84"/>
      <c r="AC693" s="84"/>
      <c r="AD693" s="84"/>
      <c r="AE693" s="84"/>
      <c r="AF693" s="84"/>
      <c r="AG693" s="84"/>
      <c r="AH693" s="84"/>
      <c r="AI693" s="84"/>
      <c r="AL693" s="84"/>
      <c r="AM693" s="84"/>
      <c r="AN693" s="84"/>
      <c r="AO693" s="84"/>
      <c r="AP693" s="84"/>
      <c r="AQ693" s="84"/>
      <c r="AR693" s="84"/>
      <c r="AS693" s="84"/>
      <c r="AT693" s="84"/>
      <c r="AU693" s="84"/>
      <c r="AV693" s="84"/>
      <c r="AY693" s="84"/>
      <c r="AZ693" s="84"/>
      <c r="BA693" s="84"/>
      <c r="BB693" s="84"/>
      <c r="BC693" s="84"/>
      <c r="BD693" s="84"/>
      <c r="BE693" s="84"/>
      <c r="BF693" s="942"/>
      <c r="BG693" s="942"/>
      <c r="BH693" s="942"/>
      <c r="BI693" s="84"/>
      <c r="BL693" s="84"/>
      <c r="BM693" s="84"/>
      <c r="BN693" s="84"/>
      <c r="BO693" s="84"/>
      <c r="BP693" s="84"/>
      <c r="BQ693" s="84"/>
      <c r="BR693" s="84"/>
      <c r="BS693" s="942"/>
      <c r="BT693" s="942"/>
      <c r="BU693" s="942"/>
      <c r="BV693" s="84"/>
    </row>
    <row r="694" spans="14:74" ht="14.25">
      <c r="N694" s="84"/>
      <c r="O694" s="84"/>
      <c r="P694" s="84"/>
      <c r="Q694" s="84"/>
      <c r="R694" s="84"/>
      <c r="S694" s="84"/>
      <c r="T694" s="84"/>
      <c r="U694" s="84"/>
      <c r="V694" s="84"/>
      <c r="W694" s="84"/>
      <c r="Y694" s="84"/>
      <c r="Z694" s="84"/>
      <c r="AA694" s="84"/>
      <c r="AB694" s="84"/>
      <c r="AC694" s="84"/>
      <c r="AD694" s="84"/>
      <c r="AE694" s="84"/>
      <c r="AF694" s="84"/>
      <c r="AG694" s="84"/>
      <c r="AH694" s="84"/>
      <c r="AI694" s="84"/>
      <c r="AL694" s="84"/>
      <c r="AM694" s="84"/>
      <c r="AN694" s="84"/>
      <c r="AO694" s="84"/>
      <c r="AP694" s="84"/>
      <c r="AQ694" s="84"/>
      <c r="AR694" s="84"/>
      <c r="AS694" s="84"/>
      <c r="AT694" s="84"/>
      <c r="AU694" s="84"/>
      <c r="AV694" s="84"/>
      <c r="AY694" s="84"/>
      <c r="AZ694" s="84"/>
      <c r="BA694" s="84"/>
      <c r="BB694" s="84"/>
      <c r="BC694" s="84"/>
      <c r="BD694" s="84"/>
      <c r="BE694" s="84"/>
      <c r="BF694" s="942"/>
      <c r="BG694" s="942"/>
      <c r="BH694" s="942"/>
      <c r="BI694" s="84"/>
      <c r="BL694" s="84"/>
      <c r="BM694" s="84"/>
      <c r="BN694" s="84"/>
      <c r="BO694" s="84"/>
      <c r="BP694" s="84"/>
      <c r="BQ694" s="84"/>
      <c r="BR694" s="84"/>
      <c r="BS694" s="942"/>
      <c r="BT694" s="942"/>
      <c r="BU694" s="942"/>
      <c r="BV694" s="84"/>
    </row>
    <row r="695" spans="14:74" ht="14.25">
      <c r="N695" s="84"/>
      <c r="O695" s="84"/>
      <c r="P695" s="84"/>
      <c r="Q695" s="84"/>
      <c r="R695" s="84"/>
      <c r="S695" s="84"/>
      <c r="T695" s="84"/>
      <c r="U695" s="84"/>
      <c r="V695" s="84"/>
      <c r="W695" s="84"/>
      <c r="Y695" s="84"/>
      <c r="Z695" s="84"/>
      <c r="AA695" s="84"/>
      <c r="AB695" s="84"/>
      <c r="AC695" s="84"/>
      <c r="AD695" s="84"/>
      <c r="AE695" s="84"/>
      <c r="AF695" s="84"/>
      <c r="AG695" s="84"/>
      <c r="AH695" s="84"/>
      <c r="AI695" s="84"/>
      <c r="AL695" s="84"/>
      <c r="AM695" s="84"/>
      <c r="AN695" s="84"/>
      <c r="AO695" s="84"/>
      <c r="AP695" s="84"/>
      <c r="AQ695" s="84"/>
      <c r="AR695" s="84"/>
      <c r="AS695" s="84"/>
      <c r="AT695" s="84"/>
      <c r="AU695" s="84"/>
      <c r="AV695" s="84"/>
      <c r="AY695" s="84"/>
      <c r="AZ695" s="84"/>
      <c r="BA695" s="84"/>
      <c r="BB695" s="84"/>
      <c r="BC695" s="84"/>
      <c r="BD695" s="84"/>
      <c r="BE695" s="84"/>
      <c r="BF695" s="942"/>
      <c r="BG695" s="942"/>
      <c r="BH695" s="942"/>
      <c r="BI695" s="84"/>
      <c r="BL695" s="84"/>
      <c r="BM695" s="84"/>
      <c r="BN695" s="84"/>
      <c r="BO695" s="84"/>
      <c r="BP695" s="84"/>
      <c r="BQ695" s="84"/>
      <c r="BR695" s="84"/>
      <c r="BS695" s="942"/>
      <c r="BT695" s="942"/>
      <c r="BU695" s="942"/>
      <c r="BV695" s="84"/>
    </row>
    <row r="696" spans="14:74" ht="14.25">
      <c r="N696" s="84"/>
      <c r="O696" s="84"/>
      <c r="P696" s="84"/>
      <c r="Q696" s="84"/>
      <c r="R696" s="84"/>
      <c r="S696" s="84"/>
      <c r="T696" s="84"/>
      <c r="U696" s="84"/>
      <c r="V696" s="84"/>
      <c r="W696" s="84"/>
      <c r="Y696" s="84"/>
      <c r="Z696" s="84"/>
      <c r="AA696" s="84"/>
      <c r="AB696" s="84"/>
      <c r="AC696" s="84"/>
      <c r="AD696" s="84"/>
      <c r="AE696" s="84"/>
      <c r="AF696" s="84"/>
      <c r="AG696" s="84"/>
      <c r="AH696" s="84"/>
      <c r="AI696" s="84"/>
      <c r="AL696" s="84"/>
      <c r="AM696" s="84"/>
      <c r="AN696" s="84"/>
      <c r="AO696" s="84"/>
      <c r="AP696" s="84"/>
      <c r="AQ696" s="84"/>
      <c r="AR696" s="84"/>
      <c r="AS696" s="84"/>
      <c r="AT696" s="84"/>
      <c r="AU696" s="84"/>
      <c r="AV696" s="84"/>
      <c r="AY696" s="84"/>
      <c r="AZ696" s="84"/>
      <c r="BA696" s="84"/>
      <c r="BB696" s="84"/>
      <c r="BC696" s="84"/>
      <c r="BD696" s="84"/>
      <c r="BE696" s="84"/>
      <c r="BF696" s="942"/>
      <c r="BG696" s="942"/>
      <c r="BH696" s="942"/>
      <c r="BI696" s="84"/>
      <c r="BL696" s="84"/>
      <c r="BM696" s="84"/>
      <c r="BN696" s="84"/>
      <c r="BO696" s="84"/>
      <c r="BP696" s="84"/>
      <c r="BQ696" s="84"/>
      <c r="BR696" s="84"/>
      <c r="BS696" s="942"/>
      <c r="BT696" s="942"/>
      <c r="BU696" s="942"/>
      <c r="BV696" s="84"/>
    </row>
    <row r="697" spans="14:74" ht="14.25">
      <c r="N697" s="84"/>
      <c r="O697" s="84"/>
      <c r="P697" s="84"/>
      <c r="Q697" s="84"/>
      <c r="R697" s="84"/>
      <c r="S697" s="84"/>
      <c r="T697" s="84"/>
      <c r="U697" s="84"/>
      <c r="V697" s="84"/>
      <c r="W697" s="84"/>
      <c r="Y697" s="84"/>
      <c r="Z697" s="84"/>
      <c r="AA697" s="84"/>
      <c r="AB697" s="84"/>
      <c r="AC697" s="84"/>
      <c r="AD697" s="84"/>
      <c r="AE697" s="84"/>
      <c r="AF697" s="84"/>
      <c r="AG697" s="84"/>
      <c r="AH697" s="84"/>
      <c r="AI697" s="84"/>
      <c r="AL697" s="84"/>
      <c r="AM697" s="84"/>
      <c r="AN697" s="84"/>
      <c r="AO697" s="84"/>
      <c r="AP697" s="84"/>
      <c r="AQ697" s="84"/>
      <c r="AR697" s="84"/>
      <c r="AS697" s="84"/>
      <c r="AT697" s="84"/>
      <c r="AU697" s="84"/>
      <c r="AV697" s="84"/>
      <c r="AY697" s="84"/>
      <c r="AZ697" s="84"/>
      <c r="BA697" s="84"/>
      <c r="BB697" s="84"/>
      <c r="BC697" s="84"/>
      <c r="BD697" s="84"/>
      <c r="BE697" s="84"/>
      <c r="BF697" s="942"/>
      <c r="BG697" s="942"/>
      <c r="BH697" s="942"/>
      <c r="BI697" s="84"/>
      <c r="BL697" s="84"/>
      <c r="BM697" s="84"/>
      <c r="BN697" s="84"/>
      <c r="BO697" s="84"/>
      <c r="BP697" s="84"/>
      <c r="BQ697" s="84"/>
      <c r="BR697" s="84"/>
      <c r="BS697" s="942"/>
      <c r="BT697" s="942"/>
      <c r="BU697" s="942"/>
      <c r="BV697" s="84"/>
    </row>
    <row r="698" spans="14:74" ht="14.25">
      <c r="N698" s="84"/>
      <c r="O698" s="84"/>
      <c r="P698" s="84"/>
      <c r="Q698" s="84"/>
      <c r="R698" s="84"/>
      <c r="S698" s="84"/>
      <c r="T698" s="84"/>
      <c r="U698" s="84"/>
      <c r="V698" s="84"/>
      <c r="W698" s="84"/>
      <c r="Y698" s="84"/>
      <c r="Z698" s="84"/>
      <c r="AA698" s="84"/>
      <c r="AB698" s="84"/>
      <c r="AC698" s="84"/>
      <c r="AD698" s="84"/>
      <c r="AE698" s="84"/>
      <c r="AF698" s="84"/>
      <c r="AG698" s="84"/>
      <c r="AH698" s="84"/>
      <c r="AI698" s="84"/>
      <c r="AL698" s="84"/>
      <c r="AM698" s="84"/>
      <c r="AN698" s="84"/>
      <c r="AO698" s="84"/>
      <c r="AP698" s="84"/>
      <c r="AQ698" s="84"/>
      <c r="AR698" s="84"/>
      <c r="AS698" s="84"/>
      <c r="AT698" s="84"/>
      <c r="AU698" s="84"/>
      <c r="AV698" s="84"/>
      <c r="AY698" s="84"/>
      <c r="AZ698" s="84"/>
      <c r="BA698" s="84"/>
      <c r="BB698" s="84"/>
      <c r="BC698" s="84"/>
      <c r="BD698" s="84"/>
      <c r="BE698" s="84"/>
      <c r="BF698" s="942"/>
      <c r="BG698" s="942"/>
      <c r="BH698" s="942"/>
      <c r="BI698" s="84"/>
      <c r="BL698" s="84"/>
      <c r="BM698" s="84"/>
      <c r="BN698" s="84"/>
      <c r="BO698" s="84"/>
      <c r="BP698" s="84"/>
      <c r="BQ698" s="84"/>
      <c r="BR698" s="84"/>
      <c r="BS698" s="942"/>
      <c r="BT698" s="942"/>
      <c r="BU698" s="942"/>
      <c r="BV698" s="84"/>
    </row>
    <row r="699" spans="14:74" ht="14.25">
      <c r="N699" s="84"/>
      <c r="O699" s="84"/>
      <c r="P699" s="84"/>
      <c r="Q699" s="84"/>
      <c r="R699" s="84"/>
      <c r="S699" s="84"/>
      <c r="T699" s="84"/>
      <c r="U699" s="84"/>
      <c r="V699" s="84"/>
      <c r="W699" s="84"/>
      <c r="Y699" s="84"/>
      <c r="Z699" s="84"/>
      <c r="AA699" s="84"/>
      <c r="AB699" s="84"/>
      <c r="AC699" s="84"/>
      <c r="AD699" s="84"/>
      <c r="AE699" s="84"/>
      <c r="AF699" s="84"/>
      <c r="AG699" s="84"/>
      <c r="AH699" s="84"/>
      <c r="AI699" s="84"/>
      <c r="AL699" s="84"/>
      <c r="AM699" s="84"/>
      <c r="AN699" s="84"/>
      <c r="AO699" s="84"/>
      <c r="AP699" s="84"/>
      <c r="AQ699" s="84"/>
      <c r="AR699" s="84"/>
      <c r="AS699" s="84"/>
      <c r="AT699" s="84"/>
      <c r="AU699" s="84"/>
      <c r="AV699" s="84"/>
      <c r="AY699" s="84"/>
      <c r="AZ699" s="84"/>
      <c r="BA699" s="84"/>
      <c r="BB699" s="84"/>
      <c r="BC699" s="84"/>
      <c r="BD699" s="84"/>
      <c r="BE699" s="84"/>
      <c r="BF699" s="942"/>
      <c r="BG699" s="942"/>
      <c r="BH699" s="942"/>
      <c r="BI699" s="84"/>
      <c r="BL699" s="84"/>
      <c r="BM699" s="84"/>
      <c r="BN699" s="84"/>
      <c r="BO699" s="84"/>
      <c r="BP699" s="84"/>
      <c r="BQ699" s="84"/>
      <c r="BR699" s="84"/>
      <c r="BS699" s="942"/>
      <c r="BT699" s="942"/>
      <c r="BU699" s="942"/>
      <c r="BV699" s="84"/>
    </row>
    <row r="700" spans="14:74" ht="14.25">
      <c r="N700" s="84"/>
      <c r="O700" s="84"/>
      <c r="P700" s="84"/>
      <c r="Q700" s="84"/>
      <c r="R700" s="84"/>
      <c r="S700" s="84"/>
      <c r="T700" s="84"/>
      <c r="U700" s="84"/>
      <c r="V700" s="84"/>
      <c r="W700" s="84"/>
      <c r="Y700" s="84"/>
      <c r="Z700" s="84"/>
      <c r="AA700" s="84"/>
      <c r="AB700" s="84"/>
      <c r="AC700" s="84"/>
      <c r="AD700" s="84"/>
      <c r="AE700" s="84"/>
      <c r="AF700" s="84"/>
      <c r="AG700" s="84"/>
      <c r="AH700" s="84"/>
      <c r="AI700" s="84"/>
      <c r="AL700" s="84"/>
      <c r="AM700" s="84"/>
      <c r="AN700" s="84"/>
      <c r="AO700" s="84"/>
      <c r="AP700" s="84"/>
      <c r="AQ700" s="84"/>
      <c r="AR700" s="84"/>
      <c r="AS700" s="84"/>
      <c r="AT700" s="84"/>
      <c r="AU700" s="84"/>
      <c r="AV700" s="84"/>
      <c r="AY700" s="84"/>
      <c r="AZ700" s="84"/>
      <c r="BA700" s="84"/>
      <c r="BB700" s="84"/>
      <c r="BC700" s="84"/>
      <c r="BD700" s="84"/>
      <c r="BE700" s="84"/>
      <c r="BF700" s="942"/>
      <c r="BG700" s="942"/>
      <c r="BH700" s="942"/>
      <c r="BI700" s="84"/>
      <c r="BL700" s="84"/>
      <c r="BM700" s="84"/>
      <c r="BN700" s="84"/>
      <c r="BO700" s="84"/>
      <c r="BP700" s="84"/>
      <c r="BQ700" s="84"/>
      <c r="BR700" s="84"/>
      <c r="BS700" s="942"/>
      <c r="BT700" s="942"/>
      <c r="BU700" s="942"/>
      <c r="BV700" s="84"/>
    </row>
    <row r="701" spans="14:74" ht="14.25">
      <c r="N701" s="84"/>
      <c r="O701" s="84"/>
      <c r="P701" s="84"/>
      <c r="Q701" s="84"/>
      <c r="R701" s="84"/>
      <c r="S701" s="84"/>
      <c r="T701" s="84"/>
      <c r="U701" s="84"/>
      <c r="V701" s="84"/>
      <c r="W701" s="84"/>
      <c r="Y701" s="84"/>
      <c r="Z701" s="84"/>
      <c r="AA701" s="84"/>
      <c r="AB701" s="84"/>
      <c r="AC701" s="84"/>
      <c r="AD701" s="84"/>
      <c r="AE701" s="84"/>
      <c r="AF701" s="84"/>
      <c r="AG701" s="84"/>
      <c r="AH701" s="84"/>
      <c r="AI701" s="84"/>
      <c r="AL701" s="84"/>
      <c r="AM701" s="84"/>
      <c r="AN701" s="84"/>
      <c r="AO701" s="84"/>
      <c r="AP701" s="84"/>
      <c r="AQ701" s="84"/>
      <c r="AR701" s="84"/>
      <c r="AS701" s="84"/>
      <c r="AT701" s="84"/>
      <c r="AU701" s="84"/>
      <c r="AV701" s="84"/>
      <c r="AY701" s="84"/>
      <c r="AZ701" s="84"/>
      <c r="BA701" s="84"/>
      <c r="BB701" s="84"/>
      <c r="BC701" s="84"/>
      <c r="BD701" s="84"/>
      <c r="BE701" s="84"/>
      <c r="BF701" s="942"/>
      <c r="BG701" s="942"/>
      <c r="BH701" s="942"/>
      <c r="BI701" s="84"/>
      <c r="BL701" s="84"/>
      <c r="BM701" s="84"/>
      <c r="BN701" s="84"/>
      <c r="BO701" s="84"/>
      <c r="BP701" s="84"/>
      <c r="BQ701" s="84"/>
      <c r="BR701" s="84"/>
      <c r="BS701" s="942"/>
      <c r="BT701" s="942"/>
      <c r="BU701" s="942"/>
      <c r="BV701" s="84"/>
    </row>
    <row r="702" spans="14:74" ht="14.25">
      <c r="N702" s="84"/>
      <c r="O702" s="84"/>
      <c r="P702" s="84"/>
      <c r="Q702" s="84"/>
      <c r="R702" s="84"/>
      <c r="S702" s="84"/>
      <c r="T702" s="84"/>
      <c r="U702" s="84"/>
      <c r="V702" s="84"/>
      <c r="W702" s="84"/>
      <c r="Y702" s="84"/>
      <c r="Z702" s="84"/>
      <c r="AA702" s="84"/>
      <c r="AB702" s="84"/>
      <c r="AC702" s="84"/>
      <c r="AD702" s="84"/>
      <c r="AE702" s="84"/>
      <c r="AF702" s="84"/>
      <c r="AG702" s="84"/>
      <c r="AH702" s="84"/>
      <c r="AI702" s="84"/>
      <c r="AL702" s="84"/>
      <c r="AM702" s="84"/>
      <c r="AN702" s="84"/>
      <c r="AO702" s="84"/>
      <c r="AP702" s="84"/>
      <c r="AQ702" s="84"/>
      <c r="AR702" s="84"/>
      <c r="AS702" s="84"/>
      <c r="AT702" s="84"/>
      <c r="AU702" s="84"/>
      <c r="AV702" s="84"/>
      <c r="AY702" s="84"/>
      <c r="AZ702" s="84"/>
      <c r="BA702" s="84"/>
      <c r="BB702" s="84"/>
      <c r="BC702" s="84"/>
      <c r="BD702" s="84"/>
      <c r="BE702" s="84"/>
      <c r="BF702" s="942"/>
      <c r="BG702" s="942"/>
      <c r="BH702" s="942"/>
      <c r="BI702" s="84"/>
      <c r="BL702" s="84"/>
      <c r="BM702" s="84"/>
      <c r="BN702" s="84"/>
      <c r="BO702" s="84"/>
      <c r="BP702" s="84"/>
      <c r="BQ702" s="84"/>
      <c r="BR702" s="84"/>
      <c r="BS702" s="942"/>
      <c r="BT702" s="942"/>
      <c r="BU702" s="942"/>
      <c r="BV702" s="84"/>
    </row>
    <row r="703" spans="14:74" ht="14.25">
      <c r="N703" s="84"/>
      <c r="O703" s="84"/>
      <c r="P703" s="84"/>
      <c r="Q703" s="84"/>
      <c r="R703" s="84"/>
      <c r="S703" s="84"/>
      <c r="T703" s="84"/>
      <c r="U703" s="84"/>
      <c r="V703" s="84"/>
      <c r="W703" s="84"/>
      <c r="Y703" s="84"/>
      <c r="Z703" s="84"/>
      <c r="AA703" s="84"/>
      <c r="AB703" s="84"/>
      <c r="AC703" s="84"/>
      <c r="AD703" s="84"/>
      <c r="AE703" s="84"/>
      <c r="AF703" s="84"/>
      <c r="AG703" s="84"/>
      <c r="AH703" s="84"/>
      <c r="AI703" s="84"/>
      <c r="AL703" s="84"/>
      <c r="AM703" s="84"/>
      <c r="AN703" s="84"/>
      <c r="AO703" s="84"/>
      <c r="AP703" s="84"/>
      <c r="AQ703" s="84"/>
      <c r="AR703" s="84"/>
      <c r="AS703" s="84"/>
      <c r="AT703" s="84"/>
      <c r="AU703" s="84"/>
      <c r="AV703" s="84"/>
      <c r="AY703" s="84"/>
      <c r="AZ703" s="84"/>
      <c r="BA703" s="84"/>
      <c r="BB703" s="84"/>
      <c r="BC703" s="84"/>
      <c r="BD703" s="84"/>
      <c r="BE703" s="84"/>
      <c r="BF703" s="942"/>
      <c r="BG703" s="942"/>
      <c r="BH703" s="942"/>
      <c r="BI703" s="84"/>
      <c r="BL703" s="84"/>
      <c r="BM703" s="84"/>
      <c r="BN703" s="84"/>
      <c r="BO703" s="84"/>
      <c r="BP703" s="84"/>
      <c r="BQ703" s="84"/>
      <c r="BR703" s="84"/>
      <c r="BS703" s="942"/>
      <c r="BT703" s="942"/>
      <c r="BU703" s="942"/>
      <c r="BV703" s="84"/>
    </row>
    <row r="704" spans="14:74" ht="14.25">
      <c r="N704" s="84"/>
      <c r="O704" s="84"/>
      <c r="P704" s="84"/>
      <c r="Q704" s="84"/>
      <c r="R704" s="84"/>
      <c r="S704" s="84"/>
      <c r="T704" s="84"/>
      <c r="U704" s="84"/>
      <c r="V704" s="84"/>
      <c r="W704" s="84"/>
      <c r="Y704" s="84"/>
      <c r="Z704" s="84"/>
      <c r="AA704" s="84"/>
      <c r="AB704" s="84"/>
      <c r="AC704" s="84"/>
      <c r="AD704" s="84"/>
      <c r="AE704" s="84"/>
      <c r="AF704" s="84"/>
      <c r="AG704" s="84"/>
      <c r="AH704" s="84"/>
      <c r="AI704" s="84"/>
      <c r="AL704" s="84"/>
      <c r="AM704" s="84"/>
      <c r="AN704" s="84"/>
      <c r="AO704" s="84"/>
      <c r="AP704" s="84"/>
      <c r="AQ704" s="84"/>
      <c r="AR704" s="84"/>
      <c r="AS704" s="84"/>
      <c r="AT704" s="84"/>
      <c r="AU704" s="84"/>
      <c r="AV704" s="84"/>
      <c r="AY704" s="84"/>
      <c r="AZ704" s="84"/>
      <c r="BA704" s="84"/>
      <c r="BB704" s="84"/>
      <c r="BC704" s="84"/>
      <c r="BD704" s="84"/>
      <c r="BE704" s="84"/>
      <c r="BF704" s="942"/>
      <c r="BG704" s="942"/>
      <c r="BH704" s="942"/>
      <c r="BI704" s="84"/>
      <c r="BL704" s="84"/>
      <c r="BM704" s="84"/>
      <c r="BN704" s="84"/>
      <c r="BO704" s="84"/>
      <c r="BP704" s="84"/>
      <c r="BQ704" s="84"/>
      <c r="BR704" s="84"/>
      <c r="BS704" s="942"/>
      <c r="BT704" s="942"/>
      <c r="BU704" s="942"/>
      <c r="BV704" s="84"/>
    </row>
    <row r="705" spans="14:74" ht="14.25">
      <c r="N705" s="84"/>
      <c r="O705" s="84"/>
      <c r="P705" s="84"/>
      <c r="Q705" s="84"/>
      <c r="R705" s="84"/>
      <c r="S705" s="84"/>
      <c r="T705" s="84"/>
      <c r="U705" s="84"/>
      <c r="V705" s="84"/>
      <c r="W705" s="84"/>
      <c r="Y705" s="84"/>
      <c r="Z705" s="84"/>
      <c r="AA705" s="84"/>
      <c r="AB705" s="84"/>
      <c r="AC705" s="84"/>
      <c r="AD705" s="84"/>
      <c r="AE705" s="84"/>
      <c r="AF705" s="84"/>
      <c r="AG705" s="84"/>
      <c r="AH705" s="84"/>
      <c r="AI705" s="84"/>
      <c r="AL705" s="84"/>
      <c r="AM705" s="84"/>
      <c r="AN705" s="84"/>
      <c r="AO705" s="84"/>
      <c r="AP705" s="84"/>
      <c r="AQ705" s="84"/>
      <c r="AR705" s="84"/>
      <c r="AS705" s="84"/>
      <c r="AT705" s="84"/>
      <c r="AU705" s="84"/>
      <c r="AV705" s="84"/>
      <c r="AY705" s="84"/>
      <c r="AZ705" s="84"/>
      <c r="BA705" s="84"/>
      <c r="BB705" s="84"/>
      <c r="BC705" s="84"/>
      <c r="BD705" s="84"/>
      <c r="BE705" s="84"/>
      <c r="BF705" s="942"/>
      <c r="BG705" s="942"/>
      <c r="BH705" s="942"/>
      <c r="BI705" s="84"/>
      <c r="BL705" s="84"/>
      <c r="BM705" s="84"/>
      <c r="BN705" s="84"/>
      <c r="BO705" s="84"/>
      <c r="BP705" s="84"/>
      <c r="BQ705" s="84"/>
      <c r="BR705" s="84"/>
      <c r="BS705" s="942"/>
      <c r="BT705" s="942"/>
      <c r="BU705" s="942"/>
      <c r="BV705" s="84"/>
    </row>
    <row r="706" spans="14:74" ht="14.25">
      <c r="N706" s="84"/>
      <c r="O706" s="84"/>
      <c r="P706" s="84"/>
      <c r="Q706" s="84"/>
      <c r="R706" s="84"/>
      <c r="S706" s="84"/>
      <c r="T706" s="84"/>
      <c r="U706" s="84"/>
      <c r="V706" s="84"/>
      <c r="W706" s="84"/>
      <c r="Y706" s="84"/>
      <c r="Z706" s="84"/>
      <c r="AA706" s="84"/>
      <c r="AB706" s="84"/>
      <c r="AC706" s="84"/>
      <c r="AD706" s="84"/>
      <c r="AE706" s="84"/>
      <c r="AF706" s="84"/>
      <c r="AG706" s="84"/>
      <c r="AH706" s="84"/>
      <c r="AI706" s="84"/>
      <c r="AL706" s="84"/>
      <c r="AM706" s="84"/>
      <c r="AN706" s="84"/>
      <c r="AO706" s="84"/>
      <c r="AP706" s="84"/>
      <c r="AQ706" s="84"/>
      <c r="AR706" s="84"/>
      <c r="AS706" s="84"/>
      <c r="AT706" s="84"/>
      <c r="AU706" s="84"/>
      <c r="AV706" s="84"/>
      <c r="AY706" s="84"/>
      <c r="AZ706" s="84"/>
      <c r="BA706" s="84"/>
      <c r="BB706" s="84"/>
      <c r="BC706" s="84"/>
      <c r="BD706" s="84"/>
      <c r="BE706" s="84"/>
      <c r="BF706" s="942"/>
      <c r="BG706" s="942"/>
      <c r="BH706" s="942"/>
      <c r="BI706" s="84"/>
      <c r="BL706" s="84"/>
      <c r="BM706" s="84"/>
      <c r="BN706" s="84"/>
      <c r="BO706" s="84"/>
      <c r="BP706" s="84"/>
      <c r="BQ706" s="84"/>
      <c r="BR706" s="84"/>
      <c r="BS706" s="942"/>
      <c r="BT706" s="942"/>
      <c r="BU706" s="942"/>
      <c r="BV706" s="84"/>
    </row>
    <row r="707" spans="14:74" ht="14.25">
      <c r="N707" s="84"/>
      <c r="O707" s="84"/>
      <c r="P707" s="84"/>
      <c r="Q707" s="84"/>
      <c r="R707" s="84"/>
      <c r="S707" s="84"/>
      <c r="T707" s="84"/>
      <c r="U707" s="84"/>
      <c r="V707" s="84"/>
      <c r="W707" s="84"/>
      <c r="Y707" s="84"/>
      <c r="Z707" s="84"/>
      <c r="AA707" s="84"/>
      <c r="AB707" s="84"/>
      <c r="AC707" s="84"/>
      <c r="AD707" s="84"/>
      <c r="AE707" s="84"/>
      <c r="AF707" s="84"/>
      <c r="AG707" s="84"/>
      <c r="AH707" s="84"/>
      <c r="AI707" s="84"/>
      <c r="AL707" s="84"/>
      <c r="AM707" s="84"/>
      <c r="AN707" s="84"/>
      <c r="AO707" s="84"/>
      <c r="AP707" s="84"/>
      <c r="AQ707" s="84"/>
      <c r="AR707" s="84"/>
      <c r="AS707" s="84"/>
      <c r="AT707" s="84"/>
      <c r="AU707" s="84"/>
      <c r="AV707" s="84"/>
      <c r="AY707" s="84"/>
      <c r="AZ707" s="84"/>
      <c r="BA707" s="84"/>
      <c r="BB707" s="84"/>
      <c r="BC707" s="84"/>
      <c r="BD707" s="84"/>
      <c r="BE707" s="84"/>
      <c r="BF707" s="942"/>
      <c r="BG707" s="942"/>
      <c r="BH707" s="942"/>
      <c r="BI707" s="84"/>
      <c r="BL707" s="84"/>
      <c r="BM707" s="84"/>
      <c r="BN707" s="84"/>
      <c r="BO707" s="84"/>
      <c r="BP707" s="84"/>
      <c r="BQ707" s="84"/>
      <c r="BR707" s="84"/>
      <c r="BS707" s="942"/>
      <c r="BT707" s="942"/>
      <c r="BU707" s="942"/>
      <c r="BV707" s="84"/>
    </row>
    <row r="708" spans="14:74" ht="14.25">
      <c r="N708" s="84"/>
      <c r="O708" s="84"/>
      <c r="P708" s="84"/>
      <c r="Q708" s="84"/>
      <c r="R708" s="84"/>
      <c r="S708" s="84"/>
      <c r="T708" s="84"/>
      <c r="U708" s="84"/>
      <c r="V708" s="84"/>
      <c r="W708" s="84"/>
      <c r="Y708" s="84"/>
      <c r="Z708" s="84"/>
      <c r="AA708" s="84"/>
      <c r="AB708" s="84"/>
      <c r="AC708" s="84"/>
      <c r="AD708" s="84"/>
      <c r="AE708" s="84"/>
      <c r="AF708" s="84"/>
      <c r="AG708" s="84"/>
      <c r="AH708" s="84"/>
      <c r="AI708" s="84"/>
      <c r="AL708" s="84"/>
      <c r="AM708" s="84"/>
      <c r="AN708" s="84"/>
      <c r="AO708" s="84"/>
      <c r="AP708" s="84"/>
      <c r="AQ708" s="84"/>
      <c r="AR708" s="84"/>
      <c r="AS708" s="84"/>
      <c r="AT708" s="84"/>
      <c r="AU708" s="84"/>
      <c r="AV708" s="84"/>
      <c r="AY708" s="84"/>
      <c r="AZ708" s="84"/>
      <c r="BA708" s="84"/>
      <c r="BB708" s="84"/>
      <c r="BC708" s="84"/>
      <c r="BD708" s="84"/>
      <c r="BE708" s="84"/>
      <c r="BF708" s="942"/>
      <c r="BG708" s="942"/>
      <c r="BH708" s="942"/>
      <c r="BI708" s="84"/>
      <c r="BL708" s="84"/>
      <c r="BM708" s="84"/>
      <c r="BN708" s="84"/>
      <c r="BO708" s="84"/>
      <c r="BP708" s="84"/>
      <c r="BQ708" s="84"/>
      <c r="BR708" s="84"/>
      <c r="BS708" s="942"/>
      <c r="BT708" s="942"/>
      <c r="BU708" s="942"/>
      <c r="BV708" s="84"/>
    </row>
    <row r="709" spans="14:74" ht="14.25">
      <c r="N709" s="84"/>
      <c r="O709" s="84"/>
      <c r="P709" s="84"/>
      <c r="Q709" s="84"/>
      <c r="R709" s="84"/>
      <c r="S709" s="84"/>
      <c r="T709" s="84"/>
      <c r="U709" s="84"/>
      <c r="V709" s="84"/>
      <c r="W709" s="84"/>
      <c r="Y709" s="84"/>
      <c r="Z709" s="84"/>
      <c r="AA709" s="84"/>
      <c r="AB709" s="84"/>
      <c r="AC709" s="84"/>
      <c r="AD709" s="84"/>
      <c r="AE709" s="84"/>
      <c r="AF709" s="84"/>
      <c r="AG709" s="84"/>
      <c r="AH709" s="84"/>
      <c r="AI709" s="84"/>
      <c r="AL709" s="84"/>
      <c r="AM709" s="84"/>
      <c r="AN709" s="84"/>
      <c r="AO709" s="84"/>
      <c r="AP709" s="84"/>
      <c r="AQ709" s="84"/>
      <c r="AR709" s="84"/>
      <c r="AS709" s="84"/>
      <c r="AT709" s="84"/>
      <c r="AU709" s="84"/>
      <c r="AV709" s="84"/>
      <c r="AY709" s="84"/>
      <c r="AZ709" s="84"/>
      <c r="BA709" s="84"/>
      <c r="BB709" s="84"/>
      <c r="BC709" s="84"/>
      <c r="BD709" s="84"/>
      <c r="BE709" s="84"/>
      <c r="BF709" s="942"/>
      <c r="BG709" s="942"/>
      <c r="BH709" s="942"/>
      <c r="BI709" s="84"/>
      <c r="BL709" s="84"/>
      <c r="BM709" s="84"/>
      <c r="BN709" s="84"/>
      <c r="BO709" s="84"/>
      <c r="BP709" s="84"/>
      <c r="BQ709" s="84"/>
      <c r="BR709" s="84"/>
      <c r="BS709" s="942"/>
      <c r="BT709" s="942"/>
      <c r="BU709" s="942"/>
      <c r="BV709" s="84"/>
    </row>
    <row r="710" spans="14:74" ht="14.25">
      <c r="N710" s="84"/>
      <c r="O710" s="84"/>
      <c r="P710" s="84"/>
      <c r="Q710" s="84"/>
      <c r="R710" s="84"/>
      <c r="S710" s="84"/>
      <c r="T710" s="84"/>
      <c r="U710" s="84"/>
      <c r="V710" s="84"/>
      <c r="W710" s="84"/>
      <c r="Y710" s="84"/>
      <c r="Z710" s="84"/>
      <c r="AA710" s="84"/>
      <c r="AB710" s="84"/>
      <c r="AC710" s="84"/>
      <c r="AD710" s="84"/>
      <c r="AE710" s="84"/>
      <c r="AF710" s="84"/>
      <c r="AG710" s="84"/>
      <c r="AH710" s="84"/>
      <c r="AI710" s="84"/>
      <c r="AL710" s="84"/>
      <c r="AM710" s="84"/>
      <c r="AN710" s="84"/>
      <c r="AO710" s="84"/>
      <c r="AP710" s="84"/>
      <c r="AQ710" s="84"/>
      <c r="AR710" s="84"/>
      <c r="AS710" s="84"/>
      <c r="AT710" s="84"/>
      <c r="AU710" s="84"/>
      <c r="AV710" s="84"/>
      <c r="AY710" s="84"/>
      <c r="AZ710" s="84"/>
      <c r="BA710" s="84"/>
      <c r="BB710" s="84"/>
      <c r="BC710" s="84"/>
      <c r="BD710" s="84"/>
      <c r="BE710" s="84"/>
      <c r="BF710" s="942"/>
      <c r="BG710" s="942"/>
      <c r="BH710" s="942"/>
      <c r="BI710" s="84"/>
      <c r="BL710" s="84"/>
      <c r="BM710" s="84"/>
      <c r="BN710" s="84"/>
      <c r="BO710" s="84"/>
      <c r="BP710" s="84"/>
      <c r="BQ710" s="84"/>
      <c r="BR710" s="84"/>
      <c r="BS710" s="942"/>
      <c r="BT710" s="942"/>
      <c r="BU710" s="942"/>
      <c r="BV710" s="84"/>
    </row>
    <row r="711" spans="14:74" ht="14.25">
      <c r="N711" s="84"/>
      <c r="O711" s="84"/>
      <c r="P711" s="84"/>
      <c r="Q711" s="84"/>
      <c r="R711" s="84"/>
      <c r="S711" s="84"/>
      <c r="T711" s="84"/>
      <c r="U711" s="84"/>
      <c r="V711" s="84"/>
      <c r="W711" s="84"/>
      <c r="Y711" s="84"/>
      <c r="Z711" s="84"/>
      <c r="AA711" s="84"/>
      <c r="AB711" s="84"/>
      <c r="AC711" s="84"/>
      <c r="AD711" s="84"/>
      <c r="AE711" s="84"/>
      <c r="AF711" s="84"/>
      <c r="AG711" s="84"/>
      <c r="AH711" s="84"/>
      <c r="AI711" s="84"/>
      <c r="AL711" s="84"/>
      <c r="AM711" s="84"/>
      <c r="AN711" s="84"/>
      <c r="AO711" s="84"/>
      <c r="AP711" s="84"/>
      <c r="AQ711" s="84"/>
      <c r="AR711" s="84"/>
      <c r="AS711" s="84"/>
      <c r="AT711" s="84"/>
      <c r="AU711" s="84"/>
      <c r="AV711" s="84"/>
      <c r="AY711" s="84"/>
      <c r="AZ711" s="84"/>
      <c r="BA711" s="84"/>
      <c r="BB711" s="84"/>
      <c r="BC711" s="84"/>
      <c r="BD711" s="84"/>
      <c r="BE711" s="84"/>
      <c r="BF711" s="942"/>
      <c r="BG711" s="942"/>
      <c r="BH711" s="942"/>
      <c r="BI711" s="84"/>
      <c r="BL711" s="84"/>
      <c r="BM711" s="84"/>
      <c r="BN711" s="84"/>
      <c r="BO711" s="84"/>
      <c r="BP711" s="84"/>
      <c r="BQ711" s="84"/>
      <c r="BR711" s="84"/>
      <c r="BS711" s="942"/>
      <c r="BT711" s="942"/>
      <c r="BU711" s="942"/>
      <c r="BV711" s="84"/>
    </row>
    <row r="712" spans="14:74" ht="14.25">
      <c r="N712" s="84"/>
      <c r="O712" s="84"/>
      <c r="P712" s="84"/>
      <c r="Q712" s="84"/>
      <c r="R712" s="84"/>
      <c r="S712" s="84"/>
      <c r="T712" s="84"/>
      <c r="U712" s="84"/>
      <c r="V712" s="84"/>
      <c r="W712" s="84"/>
      <c r="Y712" s="84"/>
      <c r="Z712" s="84"/>
      <c r="AA712" s="84"/>
      <c r="AB712" s="84"/>
      <c r="AC712" s="84"/>
      <c r="AD712" s="84"/>
      <c r="AE712" s="84"/>
      <c r="AF712" s="84"/>
      <c r="AG712" s="84"/>
      <c r="AH712" s="84"/>
      <c r="AI712" s="84"/>
      <c r="AL712" s="84"/>
      <c r="AM712" s="84"/>
      <c r="AN712" s="84"/>
      <c r="AO712" s="84"/>
      <c r="AP712" s="84"/>
      <c r="AQ712" s="84"/>
      <c r="AR712" s="84"/>
      <c r="AS712" s="84"/>
      <c r="AT712" s="84"/>
      <c r="AU712" s="84"/>
      <c r="AV712" s="84"/>
      <c r="AY712" s="84"/>
      <c r="AZ712" s="84"/>
      <c r="BA712" s="84"/>
      <c r="BB712" s="84"/>
      <c r="BC712" s="84"/>
      <c r="BD712" s="84"/>
      <c r="BE712" s="84"/>
      <c r="BF712" s="942"/>
      <c r="BG712" s="942"/>
      <c r="BH712" s="942"/>
      <c r="BI712" s="84"/>
      <c r="BL712" s="84"/>
      <c r="BM712" s="84"/>
      <c r="BN712" s="84"/>
      <c r="BO712" s="84"/>
      <c r="BP712" s="84"/>
      <c r="BQ712" s="84"/>
      <c r="BR712" s="84"/>
      <c r="BS712" s="942"/>
      <c r="BT712" s="942"/>
      <c r="BU712" s="942"/>
      <c r="BV712" s="84"/>
    </row>
    <row r="713" spans="14:74" ht="14.25">
      <c r="N713" s="84"/>
      <c r="O713" s="84"/>
      <c r="P713" s="84"/>
      <c r="Q713" s="84"/>
      <c r="R713" s="84"/>
      <c r="S713" s="84"/>
      <c r="T713" s="84"/>
      <c r="U713" s="84"/>
      <c r="V713" s="84"/>
      <c r="W713" s="84"/>
      <c r="Y713" s="84"/>
      <c r="Z713" s="84"/>
      <c r="AA713" s="84"/>
      <c r="AB713" s="84"/>
      <c r="AC713" s="84"/>
      <c r="AD713" s="84"/>
      <c r="AE713" s="84"/>
      <c r="AF713" s="84"/>
      <c r="AG713" s="84"/>
      <c r="AH713" s="84"/>
      <c r="AI713" s="84"/>
      <c r="AL713" s="84"/>
      <c r="AM713" s="84"/>
      <c r="AN713" s="84"/>
      <c r="AO713" s="84"/>
      <c r="AP713" s="84"/>
      <c r="AQ713" s="84"/>
      <c r="AR713" s="84"/>
      <c r="AS713" s="84"/>
      <c r="AT713" s="84"/>
      <c r="AU713" s="84"/>
      <c r="AV713" s="84"/>
      <c r="AY713" s="84"/>
      <c r="AZ713" s="84"/>
      <c r="BA713" s="84"/>
      <c r="BB713" s="84"/>
      <c r="BC713" s="84"/>
      <c r="BD713" s="84"/>
      <c r="BE713" s="84"/>
      <c r="BF713" s="942"/>
      <c r="BG713" s="942"/>
      <c r="BH713" s="942"/>
      <c r="BI713" s="84"/>
      <c r="BL713" s="84"/>
      <c r="BM713" s="84"/>
      <c r="BN713" s="84"/>
      <c r="BO713" s="84"/>
      <c r="BP713" s="84"/>
      <c r="BQ713" s="84"/>
      <c r="BR713" s="84"/>
      <c r="BS713" s="942"/>
      <c r="BT713" s="942"/>
      <c r="BU713" s="942"/>
      <c r="BV713" s="84"/>
    </row>
    <row r="714" spans="14:74" ht="14.25">
      <c r="N714" s="84"/>
      <c r="O714" s="84"/>
      <c r="P714" s="84"/>
      <c r="Q714" s="84"/>
      <c r="R714" s="84"/>
      <c r="S714" s="84"/>
      <c r="T714" s="84"/>
      <c r="U714" s="84"/>
      <c r="V714" s="84"/>
      <c r="W714" s="84"/>
      <c r="Y714" s="84"/>
      <c r="Z714" s="84"/>
      <c r="AA714" s="84"/>
      <c r="AB714" s="84"/>
      <c r="AC714" s="84"/>
      <c r="AD714" s="84"/>
      <c r="AE714" s="84"/>
      <c r="AF714" s="84"/>
      <c r="AG714" s="84"/>
      <c r="AH714" s="84"/>
      <c r="AI714" s="84"/>
      <c r="AL714" s="84"/>
      <c r="AM714" s="84"/>
      <c r="AN714" s="84"/>
      <c r="AO714" s="84"/>
      <c r="AP714" s="84"/>
      <c r="AQ714" s="84"/>
      <c r="AR714" s="84"/>
      <c r="AS714" s="84"/>
      <c r="AT714" s="84"/>
      <c r="AU714" s="84"/>
      <c r="AV714" s="84"/>
      <c r="AY714" s="84"/>
      <c r="AZ714" s="84"/>
      <c r="BA714" s="84"/>
      <c r="BB714" s="84"/>
      <c r="BC714" s="84"/>
      <c r="BD714" s="84"/>
      <c r="BE714" s="84"/>
      <c r="BF714" s="942"/>
      <c r="BG714" s="942"/>
      <c r="BH714" s="942"/>
      <c r="BI714" s="84"/>
      <c r="BL714" s="84"/>
      <c r="BM714" s="84"/>
      <c r="BN714" s="84"/>
      <c r="BO714" s="84"/>
      <c r="BP714" s="84"/>
      <c r="BQ714" s="84"/>
      <c r="BR714" s="84"/>
      <c r="BS714" s="942"/>
      <c r="BT714" s="942"/>
      <c r="BU714" s="942"/>
      <c r="BV714" s="84"/>
    </row>
    <row r="715" spans="14:74" ht="14.25">
      <c r="N715" s="84"/>
      <c r="O715" s="84"/>
      <c r="P715" s="84"/>
      <c r="Q715" s="84"/>
      <c r="R715" s="84"/>
      <c r="S715" s="84"/>
      <c r="T715" s="84"/>
      <c r="U715" s="84"/>
      <c r="V715" s="84"/>
      <c r="W715" s="84"/>
      <c r="Y715" s="84"/>
      <c r="Z715" s="84"/>
      <c r="AA715" s="84"/>
      <c r="AB715" s="84"/>
      <c r="AC715" s="84"/>
      <c r="AD715" s="84"/>
      <c r="AE715" s="84"/>
      <c r="AF715" s="84"/>
      <c r="AG715" s="84"/>
      <c r="AH715" s="84"/>
      <c r="AI715" s="84"/>
      <c r="AL715" s="84"/>
      <c r="AM715" s="84"/>
      <c r="AN715" s="84"/>
      <c r="AO715" s="84"/>
      <c r="AP715" s="84"/>
      <c r="AQ715" s="84"/>
      <c r="AR715" s="84"/>
      <c r="AS715" s="84"/>
      <c r="AT715" s="84"/>
      <c r="AU715" s="84"/>
      <c r="AV715" s="84"/>
      <c r="AY715" s="84"/>
      <c r="AZ715" s="84"/>
      <c r="BA715" s="84"/>
      <c r="BB715" s="84"/>
      <c r="BC715" s="84"/>
      <c r="BD715" s="84"/>
      <c r="BE715" s="84"/>
      <c r="BF715" s="942"/>
      <c r="BG715" s="942"/>
      <c r="BH715" s="942"/>
      <c r="BI715" s="84"/>
      <c r="BL715" s="84"/>
      <c r="BM715" s="84"/>
      <c r="BN715" s="84"/>
      <c r="BO715" s="84"/>
      <c r="BP715" s="84"/>
      <c r="BQ715" s="84"/>
      <c r="BR715" s="84"/>
      <c r="BS715" s="942"/>
      <c r="BT715" s="942"/>
      <c r="BU715" s="942"/>
      <c r="BV715" s="84"/>
    </row>
    <row r="716" spans="14:74" ht="14.25">
      <c r="N716" s="84"/>
      <c r="O716" s="84"/>
      <c r="P716" s="84"/>
      <c r="Q716" s="84"/>
      <c r="R716" s="84"/>
      <c r="S716" s="84"/>
      <c r="T716" s="84"/>
      <c r="U716" s="84"/>
      <c r="V716" s="84"/>
      <c r="W716" s="84"/>
      <c r="Y716" s="84"/>
      <c r="Z716" s="84"/>
      <c r="AA716" s="84"/>
      <c r="AB716" s="84"/>
      <c r="AC716" s="84"/>
      <c r="AD716" s="84"/>
      <c r="AE716" s="84"/>
      <c r="AF716" s="84"/>
      <c r="AG716" s="84"/>
      <c r="AH716" s="84"/>
      <c r="AI716" s="84"/>
      <c r="AL716" s="84"/>
      <c r="AM716" s="84"/>
      <c r="AN716" s="84"/>
      <c r="AO716" s="84"/>
      <c r="AP716" s="84"/>
      <c r="AQ716" s="84"/>
      <c r="AR716" s="84"/>
      <c r="AS716" s="84"/>
      <c r="AT716" s="84"/>
      <c r="AU716" s="84"/>
      <c r="AV716" s="84"/>
      <c r="AY716" s="84"/>
      <c r="AZ716" s="84"/>
      <c r="BA716" s="84"/>
      <c r="BB716" s="84"/>
      <c r="BC716" s="84"/>
      <c r="BD716" s="84"/>
      <c r="BE716" s="84"/>
      <c r="BF716" s="942"/>
      <c r="BG716" s="942"/>
      <c r="BH716" s="942"/>
      <c r="BI716" s="84"/>
      <c r="BL716" s="84"/>
      <c r="BM716" s="84"/>
      <c r="BN716" s="84"/>
      <c r="BO716" s="84"/>
      <c r="BP716" s="84"/>
      <c r="BQ716" s="84"/>
      <c r="BR716" s="84"/>
      <c r="BS716" s="942"/>
      <c r="BT716" s="942"/>
      <c r="BU716" s="942"/>
      <c r="BV716" s="84"/>
    </row>
    <row r="717" spans="14:74" ht="14.25">
      <c r="N717" s="84"/>
      <c r="O717" s="84"/>
      <c r="P717" s="84"/>
      <c r="Q717" s="84"/>
      <c r="R717" s="84"/>
      <c r="S717" s="84"/>
      <c r="T717" s="84"/>
      <c r="U717" s="84"/>
      <c r="V717" s="84"/>
      <c r="W717" s="84"/>
      <c r="Y717" s="84"/>
      <c r="Z717" s="84"/>
      <c r="AA717" s="84"/>
      <c r="AB717" s="84"/>
      <c r="AC717" s="84"/>
      <c r="AD717" s="84"/>
      <c r="AE717" s="84"/>
      <c r="AF717" s="84"/>
      <c r="AG717" s="84"/>
      <c r="AH717" s="84"/>
      <c r="AI717" s="84"/>
      <c r="AL717" s="84"/>
      <c r="AM717" s="84"/>
      <c r="AN717" s="84"/>
      <c r="AO717" s="84"/>
      <c r="AP717" s="84"/>
      <c r="AQ717" s="84"/>
      <c r="AR717" s="84"/>
      <c r="AS717" s="84"/>
      <c r="AT717" s="84"/>
      <c r="AU717" s="84"/>
      <c r="AV717" s="84"/>
      <c r="AY717" s="84"/>
      <c r="AZ717" s="84"/>
      <c r="BA717" s="84"/>
      <c r="BB717" s="84"/>
      <c r="BC717" s="84"/>
      <c r="BD717" s="84"/>
      <c r="BE717" s="84"/>
      <c r="BF717" s="942"/>
      <c r="BG717" s="942"/>
      <c r="BH717" s="942"/>
      <c r="BI717" s="84"/>
      <c r="BL717" s="84"/>
      <c r="BM717" s="84"/>
      <c r="BN717" s="84"/>
      <c r="BO717" s="84"/>
      <c r="BP717" s="84"/>
      <c r="BQ717" s="84"/>
      <c r="BR717" s="84"/>
      <c r="BS717" s="942"/>
      <c r="BT717" s="942"/>
      <c r="BU717" s="942"/>
      <c r="BV717" s="84"/>
    </row>
    <row r="718" spans="14:74" ht="14.25">
      <c r="N718" s="84"/>
      <c r="O718" s="84"/>
      <c r="P718" s="84"/>
      <c r="Q718" s="84"/>
      <c r="R718" s="84"/>
      <c r="S718" s="84"/>
      <c r="T718" s="84"/>
      <c r="U718" s="84"/>
      <c r="V718" s="84"/>
      <c r="W718" s="84"/>
      <c r="Y718" s="84"/>
      <c r="Z718" s="84"/>
      <c r="AA718" s="84"/>
      <c r="AB718" s="84"/>
      <c r="AC718" s="84"/>
      <c r="AD718" s="84"/>
      <c r="AE718" s="84"/>
      <c r="AF718" s="84"/>
      <c r="AG718" s="84"/>
      <c r="AH718" s="84"/>
      <c r="AI718" s="84"/>
      <c r="AL718" s="84"/>
      <c r="AM718" s="84"/>
      <c r="AN718" s="84"/>
      <c r="AO718" s="84"/>
      <c r="AP718" s="84"/>
      <c r="AQ718" s="84"/>
      <c r="AR718" s="84"/>
      <c r="AS718" s="84"/>
      <c r="AT718" s="84"/>
      <c r="AU718" s="84"/>
      <c r="AV718" s="84"/>
      <c r="AY718" s="84"/>
      <c r="AZ718" s="84"/>
      <c r="BA718" s="84"/>
      <c r="BB718" s="84"/>
      <c r="BC718" s="84"/>
      <c r="BD718" s="84"/>
      <c r="BE718" s="84"/>
      <c r="BF718" s="942"/>
      <c r="BG718" s="942"/>
      <c r="BH718" s="942"/>
      <c r="BI718" s="84"/>
      <c r="BL718" s="84"/>
      <c r="BM718" s="84"/>
      <c r="BN718" s="84"/>
      <c r="BO718" s="84"/>
      <c r="BP718" s="84"/>
      <c r="BQ718" s="84"/>
      <c r="BR718" s="84"/>
      <c r="BS718" s="942"/>
      <c r="BT718" s="942"/>
      <c r="BU718" s="942"/>
      <c r="BV718" s="84"/>
    </row>
    <row r="719" spans="14:74" ht="14.25">
      <c r="N719" s="84"/>
      <c r="O719" s="84"/>
      <c r="P719" s="84"/>
      <c r="Q719" s="84"/>
      <c r="R719" s="84"/>
      <c r="S719" s="84"/>
      <c r="T719" s="84"/>
      <c r="U719" s="84"/>
      <c r="V719" s="84"/>
      <c r="W719" s="84"/>
      <c r="Y719" s="84"/>
      <c r="Z719" s="84"/>
      <c r="AA719" s="84"/>
      <c r="AB719" s="84"/>
      <c r="AC719" s="84"/>
      <c r="AD719" s="84"/>
      <c r="AE719" s="84"/>
      <c r="AF719" s="84"/>
      <c r="AG719" s="84"/>
      <c r="AH719" s="84"/>
      <c r="AI719" s="84"/>
      <c r="AL719" s="84"/>
      <c r="AM719" s="84"/>
      <c r="AN719" s="84"/>
      <c r="AO719" s="84"/>
      <c r="AP719" s="84"/>
      <c r="AQ719" s="84"/>
      <c r="AR719" s="84"/>
      <c r="AS719" s="84"/>
      <c r="AT719" s="84"/>
      <c r="AU719" s="84"/>
      <c r="AV719" s="84"/>
      <c r="AY719" s="84"/>
      <c r="AZ719" s="84"/>
      <c r="BA719" s="84"/>
      <c r="BB719" s="84"/>
      <c r="BC719" s="84"/>
      <c r="BD719" s="84"/>
      <c r="BE719" s="84"/>
      <c r="BF719" s="942"/>
      <c r="BG719" s="942"/>
      <c r="BH719" s="942"/>
      <c r="BI719" s="84"/>
      <c r="BL719" s="84"/>
      <c r="BM719" s="84"/>
      <c r="BN719" s="84"/>
      <c r="BO719" s="84"/>
      <c r="BP719" s="84"/>
      <c r="BQ719" s="84"/>
      <c r="BR719" s="84"/>
      <c r="BS719" s="942"/>
      <c r="BT719" s="942"/>
      <c r="BU719" s="942"/>
      <c r="BV719" s="84"/>
    </row>
    <row r="720" spans="14:74" ht="14.25">
      <c r="N720" s="84"/>
      <c r="O720" s="84"/>
      <c r="P720" s="84"/>
      <c r="Q720" s="84"/>
      <c r="R720" s="84"/>
      <c r="S720" s="84"/>
      <c r="T720" s="84"/>
      <c r="U720" s="84"/>
      <c r="V720" s="84"/>
      <c r="W720" s="84"/>
      <c r="Y720" s="84"/>
      <c r="Z720" s="84"/>
      <c r="AA720" s="84"/>
      <c r="AB720" s="84"/>
      <c r="AC720" s="84"/>
      <c r="AD720" s="84"/>
      <c r="AE720" s="84"/>
      <c r="AF720" s="84"/>
      <c r="AG720" s="84"/>
      <c r="AH720" s="84"/>
      <c r="AI720" s="84"/>
      <c r="AL720" s="84"/>
      <c r="AM720" s="84"/>
      <c r="AN720" s="84"/>
      <c r="AO720" s="84"/>
      <c r="AP720" s="84"/>
      <c r="AQ720" s="84"/>
      <c r="AR720" s="84"/>
      <c r="AS720" s="84"/>
      <c r="AT720" s="84"/>
      <c r="AU720" s="84"/>
      <c r="AV720" s="84"/>
      <c r="AY720" s="84"/>
      <c r="AZ720" s="84"/>
      <c r="BA720" s="84"/>
      <c r="BB720" s="84"/>
      <c r="BC720" s="84"/>
      <c r="BD720" s="84"/>
      <c r="BE720" s="84"/>
      <c r="BF720" s="942"/>
      <c r="BG720" s="942"/>
      <c r="BH720" s="942"/>
      <c r="BI720" s="84"/>
      <c r="BL720" s="84"/>
      <c r="BM720" s="84"/>
      <c r="BN720" s="84"/>
      <c r="BO720" s="84"/>
      <c r="BP720" s="84"/>
      <c r="BQ720" s="84"/>
      <c r="BR720" s="84"/>
      <c r="BS720" s="942"/>
      <c r="BT720" s="942"/>
      <c r="BU720" s="942"/>
      <c r="BV720" s="84"/>
    </row>
    <row r="721" spans="14:74" ht="14.25">
      <c r="N721" s="84"/>
      <c r="O721" s="84"/>
      <c r="P721" s="84"/>
      <c r="Q721" s="84"/>
      <c r="R721" s="84"/>
      <c r="S721" s="84"/>
      <c r="T721" s="84"/>
      <c r="U721" s="84"/>
      <c r="V721" s="84"/>
      <c r="W721" s="84"/>
      <c r="Y721" s="84"/>
      <c r="Z721" s="84"/>
      <c r="AA721" s="84"/>
      <c r="AB721" s="84"/>
      <c r="AC721" s="84"/>
      <c r="AD721" s="84"/>
      <c r="AE721" s="84"/>
      <c r="AF721" s="84"/>
      <c r="AG721" s="84"/>
      <c r="AH721" s="84"/>
      <c r="AI721" s="84"/>
      <c r="AL721" s="84"/>
      <c r="AM721" s="84"/>
      <c r="AN721" s="84"/>
      <c r="AO721" s="84"/>
      <c r="AP721" s="84"/>
      <c r="AQ721" s="84"/>
      <c r="AR721" s="84"/>
      <c r="AS721" s="84"/>
      <c r="AT721" s="84"/>
      <c r="AU721" s="84"/>
      <c r="AV721" s="84"/>
      <c r="AY721" s="84"/>
      <c r="AZ721" s="84"/>
      <c r="BA721" s="84"/>
      <c r="BB721" s="84"/>
      <c r="BC721" s="84"/>
      <c r="BD721" s="84"/>
      <c r="BE721" s="84"/>
      <c r="BF721" s="942"/>
      <c r="BG721" s="942"/>
      <c r="BH721" s="942"/>
      <c r="BI721" s="84"/>
      <c r="BL721" s="84"/>
      <c r="BM721" s="84"/>
      <c r="BN721" s="84"/>
      <c r="BO721" s="84"/>
      <c r="BP721" s="84"/>
      <c r="BQ721" s="84"/>
      <c r="BR721" s="84"/>
      <c r="BS721" s="942"/>
      <c r="BT721" s="942"/>
      <c r="BU721" s="942"/>
      <c r="BV721" s="84"/>
    </row>
    <row r="722" spans="14:74" ht="14.25">
      <c r="N722" s="84"/>
      <c r="O722" s="84"/>
      <c r="P722" s="84"/>
      <c r="Q722" s="84"/>
      <c r="R722" s="84"/>
      <c r="S722" s="84"/>
      <c r="T722" s="84"/>
      <c r="U722" s="84"/>
      <c r="V722" s="84"/>
      <c r="W722" s="84"/>
      <c r="Y722" s="84"/>
      <c r="Z722" s="84"/>
      <c r="AA722" s="84"/>
      <c r="AB722" s="84"/>
      <c r="AC722" s="84"/>
      <c r="AD722" s="84"/>
      <c r="AE722" s="84"/>
      <c r="AF722" s="84"/>
      <c r="AG722" s="84"/>
      <c r="AH722" s="84"/>
      <c r="AI722" s="84"/>
      <c r="AL722" s="84"/>
      <c r="AM722" s="84"/>
      <c r="AN722" s="84"/>
      <c r="AO722" s="84"/>
      <c r="AP722" s="84"/>
      <c r="AQ722" s="84"/>
      <c r="AR722" s="84"/>
      <c r="AS722" s="84"/>
      <c r="AT722" s="84"/>
      <c r="AU722" s="84"/>
      <c r="AV722" s="84"/>
      <c r="AY722" s="84"/>
      <c r="AZ722" s="84"/>
      <c r="BA722" s="84"/>
      <c r="BB722" s="84"/>
      <c r="BC722" s="84"/>
      <c r="BD722" s="84"/>
      <c r="BE722" s="84"/>
      <c r="BF722" s="942"/>
      <c r="BG722" s="942"/>
      <c r="BH722" s="942"/>
      <c r="BI722" s="84"/>
      <c r="BL722" s="84"/>
      <c r="BM722" s="84"/>
      <c r="BN722" s="84"/>
      <c r="BO722" s="84"/>
      <c r="BP722" s="84"/>
      <c r="BQ722" s="84"/>
      <c r="BR722" s="84"/>
      <c r="BS722" s="942"/>
      <c r="BT722" s="942"/>
      <c r="BU722" s="942"/>
      <c r="BV722" s="84"/>
    </row>
    <row r="723" spans="14:74" ht="14.25">
      <c r="N723" s="84"/>
      <c r="O723" s="84"/>
      <c r="P723" s="84"/>
      <c r="Q723" s="84"/>
      <c r="R723" s="84"/>
      <c r="S723" s="84"/>
      <c r="T723" s="84"/>
      <c r="U723" s="84"/>
      <c r="V723" s="84"/>
      <c r="W723" s="84"/>
      <c r="Y723" s="84"/>
      <c r="Z723" s="84"/>
      <c r="AA723" s="84"/>
      <c r="AB723" s="84"/>
      <c r="AC723" s="84"/>
      <c r="AD723" s="84"/>
      <c r="AE723" s="84"/>
      <c r="AF723" s="84"/>
      <c r="AG723" s="84"/>
      <c r="AH723" s="84"/>
      <c r="AI723" s="84"/>
      <c r="AL723" s="84"/>
      <c r="AM723" s="84"/>
      <c r="AN723" s="84"/>
      <c r="AO723" s="84"/>
      <c r="AP723" s="84"/>
      <c r="AQ723" s="84"/>
      <c r="AR723" s="84"/>
      <c r="AS723" s="84"/>
      <c r="AT723" s="84"/>
      <c r="AU723" s="84"/>
      <c r="AV723" s="84"/>
      <c r="AY723" s="84"/>
      <c r="AZ723" s="84"/>
      <c r="BA723" s="84"/>
      <c r="BB723" s="84"/>
      <c r="BC723" s="84"/>
      <c r="BD723" s="84"/>
      <c r="BE723" s="84"/>
      <c r="BF723" s="942"/>
      <c r="BG723" s="942"/>
      <c r="BH723" s="942"/>
      <c r="BI723" s="84"/>
      <c r="BL723" s="84"/>
      <c r="BM723" s="84"/>
      <c r="BN723" s="84"/>
      <c r="BO723" s="84"/>
      <c r="BP723" s="84"/>
      <c r="BQ723" s="84"/>
      <c r="BR723" s="84"/>
      <c r="BS723" s="942"/>
      <c r="BT723" s="942"/>
      <c r="BU723" s="942"/>
      <c r="BV723" s="84"/>
    </row>
    <row r="724" spans="14:74" ht="14.25">
      <c r="N724" s="84"/>
      <c r="O724" s="84"/>
      <c r="P724" s="84"/>
      <c r="Q724" s="84"/>
      <c r="R724" s="84"/>
      <c r="S724" s="84"/>
      <c r="T724" s="84"/>
      <c r="U724" s="84"/>
      <c r="V724" s="84"/>
      <c r="W724" s="84"/>
      <c r="Y724" s="84"/>
      <c r="Z724" s="84"/>
      <c r="AA724" s="84"/>
      <c r="AB724" s="84"/>
      <c r="AC724" s="84"/>
      <c r="AD724" s="84"/>
      <c r="AE724" s="84"/>
      <c r="AF724" s="84"/>
      <c r="AG724" s="84"/>
      <c r="AH724" s="84"/>
      <c r="AI724" s="84"/>
      <c r="AL724" s="84"/>
      <c r="AM724" s="84"/>
      <c r="AN724" s="84"/>
      <c r="AO724" s="84"/>
      <c r="AP724" s="84"/>
      <c r="AQ724" s="84"/>
      <c r="AR724" s="84"/>
      <c r="AS724" s="84"/>
      <c r="AT724" s="84"/>
      <c r="AU724" s="84"/>
      <c r="AV724" s="84"/>
      <c r="AY724" s="84"/>
      <c r="AZ724" s="84"/>
      <c r="BA724" s="84"/>
      <c r="BB724" s="84"/>
      <c r="BC724" s="84"/>
      <c r="BD724" s="84"/>
      <c r="BE724" s="84"/>
      <c r="BF724" s="942"/>
      <c r="BG724" s="942"/>
      <c r="BH724" s="942"/>
      <c r="BI724" s="84"/>
      <c r="BL724" s="84"/>
      <c r="BM724" s="84"/>
      <c r="BN724" s="84"/>
      <c r="BO724" s="84"/>
      <c r="BP724" s="84"/>
      <c r="BQ724" s="84"/>
      <c r="BR724" s="84"/>
      <c r="BS724" s="942"/>
      <c r="BT724" s="942"/>
      <c r="BU724" s="942"/>
      <c r="BV724" s="84"/>
    </row>
    <row r="725" spans="14:74" ht="14.25">
      <c r="N725" s="84"/>
      <c r="O725" s="84"/>
      <c r="P725" s="84"/>
      <c r="Q725" s="84"/>
      <c r="R725" s="84"/>
      <c r="S725" s="84"/>
      <c r="T725" s="84"/>
      <c r="U725" s="84"/>
      <c r="V725" s="84"/>
      <c r="W725" s="84"/>
      <c r="Y725" s="84"/>
      <c r="Z725" s="84"/>
      <c r="AA725" s="84"/>
      <c r="AB725" s="84"/>
      <c r="AC725" s="84"/>
      <c r="AD725" s="84"/>
      <c r="AE725" s="84"/>
      <c r="AF725" s="84"/>
      <c r="AG725" s="84"/>
      <c r="AH725" s="84"/>
      <c r="AI725" s="84"/>
      <c r="AL725" s="84"/>
      <c r="AM725" s="84"/>
      <c r="AN725" s="84"/>
      <c r="AO725" s="84"/>
      <c r="AP725" s="84"/>
      <c r="AQ725" s="84"/>
      <c r="AR725" s="84"/>
      <c r="AS725" s="84"/>
      <c r="AT725" s="84"/>
      <c r="AU725" s="84"/>
      <c r="AV725" s="84"/>
      <c r="AY725" s="84"/>
      <c r="AZ725" s="84"/>
      <c r="BA725" s="84"/>
      <c r="BB725" s="84"/>
      <c r="BC725" s="84"/>
      <c r="BD725" s="84"/>
      <c r="BE725" s="84"/>
      <c r="BF725" s="942"/>
      <c r="BG725" s="942"/>
      <c r="BH725" s="942"/>
      <c r="BI725" s="84"/>
      <c r="BL725" s="84"/>
      <c r="BM725" s="84"/>
      <c r="BN725" s="84"/>
      <c r="BO725" s="84"/>
      <c r="BP725" s="84"/>
      <c r="BQ725" s="84"/>
      <c r="BR725" s="84"/>
      <c r="BS725" s="942"/>
      <c r="BT725" s="942"/>
      <c r="BU725" s="942"/>
      <c r="BV725" s="84"/>
    </row>
    <row r="726" spans="14:74" ht="14.25">
      <c r="N726" s="84"/>
      <c r="O726" s="84"/>
      <c r="P726" s="84"/>
      <c r="Q726" s="84"/>
      <c r="R726" s="84"/>
      <c r="S726" s="84"/>
      <c r="T726" s="84"/>
      <c r="U726" s="84"/>
      <c r="V726" s="84"/>
      <c r="W726" s="84"/>
      <c r="Y726" s="84"/>
      <c r="Z726" s="84"/>
      <c r="AA726" s="84"/>
      <c r="AB726" s="84"/>
      <c r="AC726" s="84"/>
      <c r="AD726" s="84"/>
      <c r="AE726" s="84"/>
      <c r="AF726" s="84"/>
      <c r="AG726" s="84"/>
      <c r="AH726" s="84"/>
      <c r="AI726" s="84"/>
      <c r="AL726" s="84"/>
      <c r="AM726" s="84"/>
      <c r="AN726" s="84"/>
      <c r="AO726" s="84"/>
      <c r="AP726" s="84"/>
      <c r="AQ726" s="84"/>
      <c r="AR726" s="84"/>
      <c r="AS726" s="84"/>
      <c r="AT726" s="84"/>
      <c r="AU726" s="84"/>
      <c r="AV726" s="84"/>
      <c r="AY726" s="84"/>
      <c r="AZ726" s="84"/>
      <c r="BA726" s="84"/>
      <c r="BB726" s="84"/>
      <c r="BC726" s="84"/>
      <c r="BD726" s="84"/>
      <c r="BE726" s="84"/>
      <c r="BF726" s="942"/>
      <c r="BG726" s="942"/>
      <c r="BH726" s="942"/>
      <c r="BI726" s="84"/>
      <c r="BL726" s="84"/>
      <c r="BM726" s="84"/>
      <c r="BN726" s="84"/>
      <c r="BO726" s="84"/>
      <c r="BP726" s="84"/>
      <c r="BQ726" s="84"/>
      <c r="BR726" s="84"/>
      <c r="BS726" s="942"/>
      <c r="BT726" s="942"/>
      <c r="BU726" s="942"/>
      <c r="BV726" s="84"/>
    </row>
    <row r="727" spans="14:74" ht="14.25">
      <c r="N727" s="84"/>
      <c r="O727" s="84"/>
      <c r="P727" s="84"/>
      <c r="Q727" s="84"/>
      <c r="R727" s="84"/>
      <c r="S727" s="84"/>
      <c r="T727" s="84"/>
      <c r="U727" s="84"/>
      <c r="V727" s="84"/>
      <c r="W727" s="84"/>
      <c r="Y727" s="84"/>
      <c r="Z727" s="84"/>
      <c r="AA727" s="84"/>
      <c r="AB727" s="84"/>
      <c r="AC727" s="84"/>
      <c r="AD727" s="84"/>
      <c r="AE727" s="84"/>
      <c r="AF727" s="84"/>
      <c r="AG727" s="84"/>
      <c r="AH727" s="84"/>
      <c r="AI727" s="84"/>
      <c r="AL727" s="84"/>
      <c r="AM727" s="84"/>
      <c r="AN727" s="84"/>
      <c r="AO727" s="84"/>
      <c r="AP727" s="84"/>
      <c r="AQ727" s="84"/>
      <c r="AR727" s="84"/>
      <c r="AS727" s="84"/>
      <c r="AT727" s="84"/>
      <c r="AU727" s="84"/>
      <c r="AV727" s="84"/>
      <c r="AY727" s="84"/>
      <c r="AZ727" s="84"/>
      <c r="BA727" s="84"/>
      <c r="BB727" s="84"/>
      <c r="BC727" s="84"/>
      <c r="BD727" s="84"/>
      <c r="BE727" s="84"/>
      <c r="BF727" s="942"/>
      <c r="BG727" s="942"/>
      <c r="BH727" s="942"/>
      <c r="BI727" s="84"/>
      <c r="BL727" s="84"/>
      <c r="BM727" s="84"/>
      <c r="BN727" s="84"/>
      <c r="BO727" s="84"/>
      <c r="BP727" s="84"/>
      <c r="BQ727" s="84"/>
      <c r="BR727" s="84"/>
      <c r="BS727" s="942"/>
      <c r="BT727" s="942"/>
      <c r="BU727" s="942"/>
      <c r="BV727" s="84"/>
    </row>
    <row r="728" spans="14:74" ht="14.25">
      <c r="N728" s="84"/>
      <c r="O728" s="84"/>
      <c r="P728" s="84"/>
      <c r="Q728" s="84"/>
      <c r="R728" s="84"/>
      <c r="S728" s="84"/>
      <c r="T728" s="84"/>
      <c r="U728" s="84"/>
      <c r="V728" s="84"/>
      <c r="W728" s="84"/>
      <c r="Y728" s="84"/>
      <c r="Z728" s="84"/>
      <c r="AA728" s="84"/>
      <c r="AB728" s="84"/>
      <c r="AC728" s="84"/>
      <c r="AD728" s="84"/>
      <c r="AE728" s="84"/>
      <c r="AF728" s="84"/>
      <c r="AG728" s="84"/>
      <c r="AH728" s="84"/>
      <c r="AI728" s="84"/>
      <c r="AL728" s="84"/>
      <c r="AM728" s="84"/>
      <c r="AN728" s="84"/>
      <c r="AO728" s="84"/>
      <c r="AP728" s="84"/>
      <c r="AQ728" s="84"/>
      <c r="AR728" s="84"/>
      <c r="AS728" s="84"/>
      <c r="AT728" s="84"/>
      <c r="AU728" s="84"/>
      <c r="AV728" s="84"/>
      <c r="AY728" s="84"/>
      <c r="AZ728" s="84"/>
      <c r="BA728" s="84"/>
      <c r="BB728" s="84"/>
      <c r="BC728" s="84"/>
      <c r="BD728" s="84"/>
      <c r="BE728" s="84"/>
      <c r="BF728" s="942"/>
      <c r="BG728" s="942"/>
      <c r="BH728" s="942"/>
      <c r="BI728" s="84"/>
      <c r="BL728" s="84"/>
      <c r="BM728" s="84"/>
      <c r="BN728" s="84"/>
      <c r="BO728" s="84"/>
      <c r="BP728" s="84"/>
      <c r="BQ728" s="84"/>
      <c r="BR728" s="84"/>
      <c r="BS728" s="942"/>
      <c r="BT728" s="942"/>
      <c r="BU728" s="942"/>
      <c r="BV728" s="84"/>
    </row>
    <row r="729" spans="14:74" ht="14.25">
      <c r="N729" s="84"/>
      <c r="O729" s="84"/>
      <c r="P729" s="84"/>
      <c r="Q729" s="84"/>
      <c r="R729" s="84"/>
      <c r="S729" s="84"/>
      <c r="T729" s="84"/>
      <c r="U729" s="84"/>
      <c r="V729" s="84"/>
      <c r="W729" s="84"/>
      <c r="Y729" s="84"/>
      <c r="Z729" s="84"/>
      <c r="AA729" s="84"/>
      <c r="AB729" s="84"/>
      <c r="AC729" s="84"/>
      <c r="AD729" s="84"/>
      <c r="AE729" s="84"/>
      <c r="AF729" s="84"/>
      <c r="AG729" s="84"/>
      <c r="AH729" s="84"/>
      <c r="AI729" s="84"/>
      <c r="AL729" s="84"/>
      <c r="AM729" s="84"/>
      <c r="AN729" s="84"/>
      <c r="AO729" s="84"/>
      <c r="AP729" s="84"/>
      <c r="AQ729" s="84"/>
      <c r="AR729" s="84"/>
      <c r="AS729" s="84"/>
      <c r="AT729" s="84"/>
      <c r="AU729" s="84"/>
      <c r="AV729" s="84"/>
      <c r="AY729" s="84"/>
      <c r="AZ729" s="84"/>
      <c r="BA729" s="84"/>
      <c r="BB729" s="84"/>
      <c r="BC729" s="84"/>
      <c r="BD729" s="84"/>
      <c r="BE729" s="84"/>
      <c r="BF729" s="942"/>
      <c r="BG729" s="942"/>
      <c r="BH729" s="942"/>
      <c r="BI729" s="84"/>
      <c r="BL729" s="84"/>
      <c r="BM729" s="84"/>
      <c r="BN729" s="84"/>
      <c r="BO729" s="84"/>
      <c r="BP729" s="84"/>
      <c r="BQ729" s="84"/>
      <c r="BR729" s="84"/>
      <c r="BS729" s="942"/>
      <c r="BT729" s="942"/>
      <c r="BU729" s="942"/>
      <c r="BV729" s="84"/>
    </row>
    <row r="730" spans="14:74" ht="14.25">
      <c r="N730" s="84"/>
      <c r="O730" s="84"/>
      <c r="P730" s="84"/>
      <c r="Q730" s="84"/>
      <c r="R730" s="84"/>
      <c r="S730" s="84"/>
      <c r="T730" s="84"/>
      <c r="U730" s="84"/>
      <c r="V730" s="84"/>
      <c r="W730" s="84"/>
      <c r="Y730" s="84"/>
      <c r="Z730" s="84"/>
      <c r="AA730" s="84"/>
      <c r="AB730" s="84"/>
      <c r="AC730" s="84"/>
      <c r="AD730" s="84"/>
      <c r="AE730" s="84"/>
      <c r="AF730" s="84"/>
      <c r="AG730" s="84"/>
      <c r="AH730" s="84"/>
      <c r="AI730" s="84"/>
      <c r="AL730" s="84"/>
      <c r="AM730" s="84"/>
      <c r="AN730" s="84"/>
      <c r="AO730" s="84"/>
      <c r="AP730" s="84"/>
      <c r="AQ730" s="84"/>
      <c r="AR730" s="84"/>
      <c r="AS730" s="84"/>
      <c r="AT730" s="84"/>
      <c r="AU730" s="84"/>
      <c r="AV730" s="84"/>
      <c r="AY730" s="84"/>
      <c r="AZ730" s="84"/>
      <c r="BA730" s="84"/>
      <c r="BB730" s="84"/>
      <c r="BC730" s="84"/>
      <c r="BD730" s="84"/>
      <c r="BE730" s="84"/>
      <c r="BF730" s="942"/>
      <c r="BG730" s="942"/>
      <c r="BH730" s="942"/>
      <c r="BI730" s="84"/>
      <c r="BL730" s="84"/>
      <c r="BM730" s="84"/>
      <c r="BN730" s="84"/>
      <c r="BO730" s="84"/>
      <c r="BP730" s="84"/>
      <c r="BQ730" s="84"/>
      <c r="BR730" s="84"/>
      <c r="BS730" s="942"/>
      <c r="BT730" s="942"/>
      <c r="BU730" s="942"/>
      <c r="BV730" s="84"/>
    </row>
    <row r="731" spans="14:74" ht="14.25">
      <c r="N731" s="84"/>
      <c r="O731" s="84"/>
      <c r="P731" s="84"/>
      <c r="Q731" s="84"/>
      <c r="R731" s="84"/>
      <c r="S731" s="84"/>
      <c r="T731" s="84"/>
      <c r="U731" s="84"/>
      <c r="V731" s="84"/>
      <c r="W731" s="84"/>
      <c r="Y731" s="84"/>
      <c r="Z731" s="84"/>
      <c r="AA731" s="84"/>
      <c r="AB731" s="84"/>
      <c r="AC731" s="84"/>
      <c r="AD731" s="84"/>
      <c r="AE731" s="84"/>
      <c r="AF731" s="84"/>
      <c r="AG731" s="84"/>
      <c r="AH731" s="84"/>
      <c r="AI731" s="84"/>
      <c r="AL731" s="84"/>
      <c r="AM731" s="84"/>
      <c r="AN731" s="84"/>
      <c r="AO731" s="84"/>
      <c r="AP731" s="84"/>
      <c r="AQ731" s="84"/>
      <c r="AR731" s="84"/>
      <c r="AS731" s="84"/>
      <c r="AT731" s="84"/>
      <c r="AU731" s="84"/>
      <c r="AV731" s="84"/>
      <c r="AY731" s="84"/>
      <c r="AZ731" s="84"/>
      <c r="BA731" s="84"/>
      <c r="BB731" s="84"/>
      <c r="BC731" s="84"/>
      <c r="BD731" s="84"/>
      <c r="BE731" s="84"/>
      <c r="BF731" s="942"/>
      <c r="BG731" s="942"/>
      <c r="BH731" s="942"/>
      <c r="BI731" s="84"/>
      <c r="BL731" s="84"/>
      <c r="BM731" s="84"/>
      <c r="BN731" s="84"/>
      <c r="BO731" s="84"/>
      <c r="BP731" s="84"/>
      <c r="BQ731" s="84"/>
      <c r="BR731" s="84"/>
      <c r="BS731" s="942"/>
      <c r="BT731" s="942"/>
      <c r="BU731" s="942"/>
      <c r="BV731" s="84"/>
    </row>
    <row r="732" spans="14:74" ht="14.25">
      <c r="N732" s="84"/>
      <c r="O732" s="84"/>
      <c r="P732" s="84"/>
      <c r="Q732" s="84"/>
      <c r="R732" s="84"/>
      <c r="S732" s="84"/>
      <c r="T732" s="84"/>
      <c r="U732" s="84"/>
      <c r="V732" s="84"/>
      <c r="W732" s="84"/>
      <c r="Y732" s="84"/>
      <c r="Z732" s="84"/>
      <c r="AA732" s="84"/>
      <c r="AB732" s="84"/>
      <c r="AC732" s="84"/>
      <c r="AD732" s="84"/>
      <c r="AE732" s="84"/>
      <c r="AF732" s="84"/>
      <c r="AG732" s="84"/>
      <c r="AH732" s="84"/>
      <c r="AI732" s="84"/>
      <c r="AL732" s="84"/>
      <c r="AM732" s="84"/>
      <c r="AN732" s="84"/>
      <c r="AO732" s="84"/>
      <c r="AP732" s="84"/>
      <c r="AQ732" s="84"/>
      <c r="AR732" s="84"/>
      <c r="AS732" s="84"/>
      <c r="AT732" s="84"/>
      <c r="AU732" s="84"/>
      <c r="AV732" s="84"/>
      <c r="AY732" s="84"/>
      <c r="AZ732" s="84"/>
      <c r="BA732" s="84"/>
      <c r="BB732" s="84"/>
      <c r="BC732" s="84"/>
      <c r="BD732" s="84"/>
      <c r="BE732" s="84"/>
      <c r="BF732" s="942"/>
      <c r="BG732" s="942"/>
      <c r="BH732" s="942"/>
      <c r="BI732" s="84"/>
      <c r="BL732" s="84"/>
      <c r="BM732" s="84"/>
      <c r="BN732" s="84"/>
      <c r="BO732" s="84"/>
      <c r="BP732" s="84"/>
      <c r="BQ732" s="84"/>
      <c r="BR732" s="84"/>
      <c r="BS732" s="942"/>
      <c r="BT732" s="942"/>
      <c r="BU732" s="942"/>
      <c r="BV732" s="84"/>
    </row>
    <row r="733" spans="14:74" ht="14.25">
      <c r="N733" s="84"/>
      <c r="O733" s="84"/>
      <c r="P733" s="84"/>
      <c r="Q733" s="84"/>
      <c r="R733" s="84"/>
      <c r="S733" s="84"/>
      <c r="T733" s="84"/>
      <c r="U733" s="84"/>
      <c r="V733" s="84"/>
      <c r="W733" s="84"/>
      <c r="Y733" s="84"/>
      <c r="Z733" s="84"/>
      <c r="AA733" s="84"/>
      <c r="AB733" s="84"/>
      <c r="AC733" s="84"/>
      <c r="AD733" s="84"/>
      <c r="AE733" s="84"/>
      <c r="AF733" s="84"/>
      <c r="AG733" s="84"/>
      <c r="AH733" s="84"/>
      <c r="AI733" s="84"/>
      <c r="AL733" s="84"/>
      <c r="AM733" s="84"/>
      <c r="AN733" s="84"/>
      <c r="AO733" s="84"/>
      <c r="AP733" s="84"/>
      <c r="AQ733" s="84"/>
      <c r="AR733" s="84"/>
      <c r="AS733" s="84"/>
      <c r="AT733" s="84"/>
      <c r="AU733" s="84"/>
      <c r="AV733" s="84"/>
      <c r="AY733" s="84"/>
      <c r="AZ733" s="84"/>
      <c r="BA733" s="84"/>
      <c r="BB733" s="84"/>
      <c r="BC733" s="84"/>
      <c r="BD733" s="84"/>
      <c r="BE733" s="84"/>
      <c r="BF733" s="942"/>
      <c r="BG733" s="942"/>
      <c r="BH733" s="942"/>
      <c r="BI733" s="84"/>
      <c r="BL733" s="84"/>
      <c r="BM733" s="84"/>
      <c r="BN733" s="84"/>
      <c r="BO733" s="84"/>
      <c r="BP733" s="84"/>
      <c r="BQ733" s="84"/>
      <c r="BR733" s="84"/>
      <c r="BS733" s="942"/>
      <c r="BT733" s="942"/>
      <c r="BU733" s="942"/>
      <c r="BV733" s="84"/>
    </row>
    <row r="734" spans="14:74" ht="14.25">
      <c r="N734" s="84"/>
      <c r="O734" s="84"/>
      <c r="P734" s="84"/>
      <c r="Q734" s="84"/>
      <c r="R734" s="84"/>
      <c r="S734" s="84"/>
      <c r="T734" s="84"/>
      <c r="U734" s="84"/>
      <c r="V734" s="84"/>
      <c r="W734" s="84"/>
      <c r="Y734" s="84"/>
      <c r="Z734" s="84"/>
      <c r="AA734" s="84"/>
      <c r="AB734" s="84"/>
      <c r="AC734" s="84"/>
      <c r="AD734" s="84"/>
      <c r="AE734" s="84"/>
      <c r="AF734" s="84"/>
      <c r="AG734" s="84"/>
      <c r="AH734" s="84"/>
      <c r="AI734" s="84"/>
      <c r="AL734" s="84"/>
      <c r="AM734" s="84"/>
      <c r="AN734" s="84"/>
      <c r="AO734" s="84"/>
      <c r="AP734" s="84"/>
      <c r="AQ734" s="84"/>
      <c r="AR734" s="84"/>
      <c r="AS734" s="84"/>
      <c r="AT734" s="84"/>
      <c r="AU734" s="84"/>
      <c r="AV734" s="84"/>
      <c r="AY734" s="84"/>
      <c r="AZ734" s="84"/>
      <c r="BA734" s="84"/>
      <c r="BB734" s="84"/>
      <c r="BC734" s="84"/>
      <c r="BD734" s="84"/>
      <c r="BE734" s="84"/>
      <c r="BF734" s="942"/>
      <c r="BG734" s="942"/>
      <c r="BH734" s="942"/>
      <c r="BI734" s="84"/>
      <c r="BL734" s="84"/>
      <c r="BM734" s="84"/>
      <c r="BN734" s="84"/>
      <c r="BO734" s="84"/>
      <c r="BP734" s="84"/>
      <c r="BQ734" s="84"/>
      <c r="BR734" s="84"/>
      <c r="BS734" s="942"/>
      <c r="BT734" s="942"/>
      <c r="BU734" s="942"/>
      <c r="BV734" s="84"/>
    </row>
    <row r="735" spans="14:74" ht="14.25">
      <c r="N735" s="84"/>
      <c r="O735" s="84"/>
      <c r="P735" s="84"/>
      <c r="Q735" s="84"/>
      <c r="R735" s="84"/>
      <c r="S735" s="84"/>
      <c r="T735" s="84"/>
      <c r="U735" s="84"/>
      <c r="V735" s="84"/>
      <c r="W735" s="84"/>
      <c r="Y735" s="84"/>
      <c r="Z735" s="84"/>
      <c r="AA735" s="84"/>
      <c r="AB735" s="84"/>
      <c r="AC735" s="84"/>
      <c r="AD735" s="84"/>
      <c r="AE735" s="84"/>
      <c r="AF735" s="84"/>
      <c r="AG735" s="84"/>
      <c r="AH735" s="84"/>
      <c r="AI735" s="84"/>
      <c r="AL735" s="84"/>
      <c r="AM735" s="84"/>
      <c r="AN735" s="84"/>
      <c r="AO735" s="84"/>
      <c r="AP735" s="84"/>
      <c r="AQ735" s="84"/>
      <c r="AR735" s="84"/>
      <c r="AS735" s="84"/>
      <c r="AT735" s="84"/>
      <c r="AU735" s="84"/>
      <c r="AV735" s="84"/>
      <c r="AY735" s="84"/>
      <c r="AZ735" s="84"/>
      <c r="BA735" s="84"/>
      <c r="BB735" s="84"/>
      <c r="BC735" s="84"/>
      <c r="BD735" s="84"/>
      <c r="BE735" s="84"/>
      <c r="BF735" s="942"/>
      <c r="BG735" s="942"/>
      <c r="BH735" s="942"/>
      <c r="BI735" s="84"/>
      <c r="BL735" s="84"/>
      <c r="BM735" s="84"/>
      <c r="BN735" s="84"/>
      <c r="BO735" s="84"/>
      <c r="BP735" s="84"/>
      <c r="BQ735" s="84"/>
      <c r="BR735" s="84"/>
      <c r="BS735" s="942"/>
      <c r="BT735" s="942"/>
      <c r="BU735" s="942"/>
      <c r="BV735" s="84"/>
    </row>
    <row r="736" spans="14:74" ht="14.25">
      <c r="N736" s="84"/>
      <c r="O736" s="84"/>
      <c r="P736" s="84"/>
      <c r="Q736" s="84"/>
      <c r="R736" s="84"/>
      <c r="S736" s="84"/>
      <c r="T736" s="84"/>
      <c r="U736" s="84"/>
      <c r="V736" s="84"/>
      <c r="W736" s="84"/>
      <c r="Y736" s="84"/>
      <c r="Z736" s="84"/>
      <c r="AA736" s="84"/>
      <c r="AB736" s="84"/>
      <c r="AC736" s="84"/>
      <c r="AD736" s="84"/>
      <c r="AE736" s="84"/>
      <c r="AF736" s="84"/>
      <c r="AG736" s="84"/>
      <c r="AH736" s="84"/>
      <c r="AI736" s="84"/>
      <c r="AL736" s="84"/>
      <c r="AM736" s="84"/>
      <c r="AN736" s="84"/>
      <c r="AO736" s="84"/>
      <c r="AP736" s="84"/>
      <c r="AQ736" s="84"/>
      <c r="AR736" s="84"/>
      <c r="AS736" s="84"/>
      <c r="AT736" s="84"/>
      <c r="AU736" s="84"/>
      <c r="AV736" s="84"/>
      <c r="AY736" s="84"/>
      <c r="AZ736" s="84"/>
      <c r="BA736" s="84"/>
      <c r="BB736" s="84"/>
      <c r="BC736" s="84"/>
      <c r="BD736" s="84"/>
      <c r="BE736" s="84"/>
      <c r="BF736" s="942"/>
      <c r="BG736" s="942"/>
      <c r="BH736" s="942"/>
      <c r="BI736" s="84"/>
      <c r="BL736" s="84"/>
      <c r="BM736" s="84"/>
      <c r="BN736" s="84"/>
      <c r="BO736" s="84"/>
      <c r="BP736" s="84"/>
      <c r="BQ736" s="84"/>
      <c r="BR736" s="84"/>
      <c r="BS736" s="942"/>
      <c r="BT736" s="942"/>
      <c r="BU736" s="942"/>
      <c r="BV736" s="84"/>
    </row>
    <row r="737" spans="14:74" ht="14.25">
      <c r="N737" s="84"/>
      <c r="O737" s="84"/>
      <c r="P737" s="84"/>
      <c r="Q737" s="84"/>
      <c r="R737" s="84"/>
      <c r="S737" s="84"/>
      <c r="T737" s="84"/>
      <c r="U737" s="84"/>
      <c r="V737" s="84"/>
      <c r="W737" s="84"/>
      <c r="Y737" s="84"/>
      <c r="Z737" s="84"/>
      <c r="AA737" s="84"/>
      <c r="AB737" s="84"/>
      <c r="AC737" s="84"/>
      <c r="AD737" s="84"/>
      <c r="AE737" s="84"/>
      <c r="AF737" s="84"/>
      <c r="AG737" s="84"/>
      <c r="AH737" s="84"/>
      <c r="AI737" s="84"/>
      <c r="AL737" s="84"/>
      <c r="AM737" s="84"/>
      <c r="AN737" s="84"/>
      <c r="AO737" s="84"/>
      <c r="AP737" s="84"/>
      <c r="AQ737" s="84"/>
      <c r="AR737" s="84"/>
      <c r="AS737" s="84"/>
      <c r="AT737" s="84"/>
      <c r="AU737" s="84"/>
      <c r="AV737" s="84"/>
      <c r="AY737" s="84"/>
      <c r="AZ737" s="84"/>
      <c r="BA737" s="84"/>
      <c r="BB737" s="84"/>
      <c r="BC737" s="84"/>
      <c r="BD737" s="84"/>
      <c r="BE737" s="84"/>
      <c r="BF737" s="942"/>
      <c r="BG737" s="942"/>
      <c r="BH737" s="942"/>
      <c r="BI737" s="84"/>
      <c r="BL737" s="84"/>
      <c r="BM737" s="84"/>
      <c r="BN737" s="84"/>
      <c r="BO737" s="84"/>
      <c r="BP737" s="84"/>
      <c r="BQ737" s="84"/>
      <c r="BR737" s="84"/>
      <c r="BS737" s="942"/>
      <c r="BT737" s="942"/>
      <c r="BU737" s="942"/>
      <c r="BV737" s="84"/>
    </row>
    <row r="738" spans="14:74" ht="14.25">
      <c r="N738" s="84"/>
      <c r="O738" s="84"/>
      <c r="P738" s="84"/>
      <c r="Q738" s="84"/>
      <c r="R738" s="84"/>
      <c r="S738" s="84"/>
      <c r="T738" s="84"/>
      <c r="U738" s="84"/>
      <c r="V738" s="84"/>
      <c r="W738" s="84"/>
      <c r="Y738" s="84"/>
      <c r="Z738" s="84"/>
      <c r="AA738" s="84"/>
      <c r="AB738" s="84"/>
      <c r="AC738" s="84"/>
      <c r="AD738" s="84"/>
      <c r="AE738" s="84"/>
      <c r="AF738" s="84"/>
      <c r="AG738" s="84"/>
      <c r="AH738" s="84"/>
      <c r="AI738" s="84"/>
      <c r="AL738" s="84"/>
      <c r="AM738" s="84"/>
      <c r="AN738" s="84"/>
      <c r="AO738" s="84"/>
      <c r="AP738" s="84"/>
      <c r="AQ738" s="84"/>
      <c r="AR738" s="84"/>
      <c r="AS738" s="84"/>
      <c r="AT738" s="84"/>
      <c r="AU738" s="84"/>
      <c r="AV738" s="84"/>
      <c r="AY738" s="84"/>
      <c r="AZ738" s="84"/>
      <c r="BA738" s="84"/>
      <c r="BB738" s="84"/>
      <c r="BC738" s="84"/>
      <c r="BD738" s="84"/>
      <c r="BE738" s="84"/>
      <c r="BF738" s="942"/>
      <c r="BG738" s="942"/>
      <c r="BH738" s="942"/>
      <c r="BI738" s="84"/>
      <c r="BL738" s="84"/>
      <c r="BM738" s="84"/>
      <c r="BN738" s="84"/>
      <c r="BO738" s="84"/>
      <c r="BP738" s="84"/>
      <c r="BQ738" s="84"/>
      <c r="BR738" s="84"/>
      <c r="BS738" s="942"/>
      <c r="BT738" s="942"/>
      <c r="BU738" s="942"/>
      <c r="BV738" s="84"/>
    </row>
    <row r="739" spans="14:74" ht="14.25">
      <c r="N739" s="84"/>
      <c r="O739" s="84"/>
      <c r="P739" s="84"/>
      <c r="Q739" s="84"/>
      <c r="R739" s="84"/>
      <c r="S739" s="84"/>
      <c r="T739" s="84"/>
      <c r="U739" s="84"/>
      <c r="V739" s="84"/>
      <c r="W739" s="84"/>
      <c r="Y739" s="84"/>
      <c r="Z739" s="84"/>
      <c r="AA739" s="84"/>
      <c r="AB739" s="84"/>
      <c r="AC739" s="84"/>
      <c r="AD739" s="84"/>
      <c r="AE739" s="84"/>
      <c r="AF739" s="84"/>
      <c r="AG739" s="84"/>
      <c r="AH739" s="84"/>
      <c r="AI739" s="84"/>
      <c r="AL739" s="84"/>
      <c r="AM739" s="84"/>
      <c r="AN739" s="84"/>
      <c r="AO739" s="84"/>
      <c r="AP739" s="84"/>
      <c r="AQ739" s="84"/>
      <c r="AR739" s="84"/>
      <c r="AS739" s="84"/>
      <c r="AT739" s="84"/>
      <c r="AU739" s="84"/>
      <c r="AV739" s="84"/>
      <c r="AY739" s="84"/>
      <c r="AZ739" s="84"/>
      <c r="BA739" s="84"/>
      <c r="BB739" s="84"/>
      <c r="BC739" s="84"/>
      <c r="BD739" s="84"/>
      <c r="BE739" s="84"/>
      <c r="BF739" s="942"/>
      <c r="BG739" s="942"/>
      <c r="BH739" s="942"/>
      <c r="BI739" s="84"/>
      <c r="BL739" s="84"/>
      <c r="BM739" s="84"/>
      <c r="BN739" s="84"/>
      <c r="BO739" s="84"/>
      <c r="BP739" s="84"/>
      <c r="BQ739" s="84"/>
      <c r="BR739" s="84"/>
      <c r="BS739" s="942"/>
      <c r="BT739" s="942"/>
      <c r="BU739" s="942"/>
      <c r="BV739" s="84"/>
    </row>
    <row r="740" spans="14:74" ht="14.25">
      <c r="N740" s="84"/>
      <c r="O740" s="84"/>
      <c r="P740" s="84"/>
      <c r="Q740" s="84"/>
      <c r="R740" s="84"/>
      <c r="S740" s="84"/>
      <c r="T740" s="84"/>
      <c r="U740" s="84"/>
      <c r="V740" s="84"/>
      <c r="W740" s="84"/>
      <c r="Y740" s="84"/>
      <c r="Z740" s="84"/>
      <c r="AA740" s="84"/>
      <c r="AB740" s="84"/>
      <c r="AC740" s="84"/>
      <c r="AD740" s="84"/>
      <c r="AE740" s="84"/>
      <c r="AF740" s="84"/>
      <c r="AG740" s="84"/>
      <c r="AH740" s="84"/>
      <c r="AI740" s="84"/>
      <c r="AL740" s="84"/>
      <c r="AM740" s="84"/>
      <c r="AN740" s="84"/>
      <c r="AO740" s="84"/>
      <c r="AP740" s="84"/>
      <c r="AQ740" s="84"/>
      <c r="AR740" s="84"/>
      <c r="AS740" s="84"/>
      <c r="AT740" s="84"/>
      <c r="AU740" s="84"/>
      <c r="AV740" s="84"/>
      <c r="AY740" s="84"/>
      <c r="AZ740" s="84"/>
      <c r="BA740" s="84"/>
      <c r="BB740" s="84"/>
      <c r="BC740" s="84"/>
      <c r="BD740" s="84"/>
      <c r="BE740" s="84"/>
      <c r="BF740" s="942"/>
      <c r="BG740" s="942"/>
      <c r="BH740" s="942"/>
      <c r="BI740" s="84"/>
      <c r="BL740" s="84"/>
      <c r="BM740" s="84"/>
      <c r="BN740" s="84"/>
      <c r="BO740" s="84"/>
      <c r="BP740" s="84"/>
      <c r="BQ740" s="84"/>
      <c r="BR740" s="84"/>
      <c r="BS740" s="942"/>
      <c r="BT740" s="942"/>
      <c r="BU740" s="942"/>
      <c r="BV740" s="84"/>
    </row>
    <row r="741" spans="14:74" ht="14.25">
      <c r="N741" s="84"/>
      <c r="O741" s="84"/>
      <c r="P741" s="84"/>
      <c r="Q741" s="84"/>
      <c r="R741" s="84"/>
      <c r="S741" s="84"/>
      <c r="T741" s="84"/>
      <c r="U741" s="84"/>
      <c r="V741" s="84"/>
      <c r="W741" s="84"/>
      <c r="Y741" s="84"/>
      <c r="Z741" s="84"/>
      <c r="AA741" s="84"/>
      <c r="AB741" s="84"/>
      <c r="AC741" s="84"/>
      <c r="AD741" s="84"/>
      <c r="AE741" s="84"/>
      <c r="AF741" s="84"/>
      <c r="AG741" s="84"/>
      <c r="AH741" s="84"/>
      <c r="AI741" s="84"/>
      <c r="AL741" s="84"/>
      <c r="AM741" s="84"/>
      <c r="AN741" s="84"/>
      <c r="AO741" s="84"/>
      <c r="AP741" s="84"/>
      <c r="AQ741" s="84"/>
      <c r="AR741" s="84"/>
      <c r="AS741" s="84"/>
      <c r="AT741" s="84"/>
      <c r="AU741" s="84"/>
      <c r="AV741" s="84"/>
      <c r="AY741" s="84"/>
      <c r="AZ741" s="84"/>
      <c r="BA741" s="84"/>
      <c r="BB741" s="84"/>
      <c r="BC741" s="84"/>
      <c r="BD741" s="84"/>
      <c r="BE741" s="84"/>
      <c r="BF741" s="942"/>
      <c r="BG741" s="942"/>
      <c r="BH741" s="942"/>
      <c r="BI741" s="84"/>
      <c r="BL741" s="84"/>
      <c r="BM741" s="84"/>
      <c r="BN741" s="84"/>
      <c r="BO741" s="84"/>
      <c r="BP741" s="84"/>
      <c r="BQ741" s="84"/>
      <c r="BR741" s="84"/>
      <c r="BS741" s="942"/>
      <c r="BT741" s="942"/>
      <c r="BU741" s="942"/>
      <c r="BV741" s="84"/>
    </row>
    <row r="742" spans="14:74" ht="14.25">
      <c r="N742" s="84"/>
      <c r="O742" s="84"/>
      <c r="P742" s="84"/>
      <c r="Q742" s="84"/>
      <c r="R742" s="84"/>
      <c r="S742" s="84"/>
      <c r="T742" s="84"/>
      <c r="U742" s="84"/>
      <c r="V742" s="84"/>
      <c r="W742" s="84"/>
      <c r="Y742" s="84"/>
      <c r="Z742" s="84"/>
      <c r="AA742" s="84"/>
      <c r="AB742" s="84"/>
      <c r="AC742" s="84"/>
      <c r="AD742" s="84"/>
      <c r="AE742" s="84"/>
      <c r="AF742" s="84"/>
      <c r="AG742" s="84"/>
      <c r="AH742" s="84"/>
      <c r="AI742" s="84"/>
      <c r="AL742" s="84"/>
      <c r="AM742" s="84"/>
      <c r="AN742" s="84"/>
      <c r="AO742" s="84"/>
      <c r="AP742" s="84"/>
      <c r="AQ742" s="84"/>
      <c r="AR742" s="84"/>
      <c r="AS742" s="84"/>
      <c r="AT742" s="84"/>
      <c r="AU742" s="84"/>
      <c r="AV742" s="84"/>
      <c r="AY742" s="84"/>
      <c r="AZ742" s="84"/>
      <c r="BA742" s="84"/>
      <c r="BB742" s="84"/>
      <c r="BC742" s="84"/>
      <c r="BD742" s="84"/>
      <c r="BE742" s="84"/>
      <c r="BF742" s="942"/>
      <c r="BG742" s="942"/>
      <c r="BH742" s="942"/>
      <c r="BI742" s="84"/>
      <c r="BL742" s="84"/>
      <c r="BM742" s="84"/>
      <c r="BN742" s="84"/>
      <c r="BO742" s="84"/>
      <c r="BP742" s="84"/>
      <c r="BQ742" s="84"/>
      <c r="BR742" s="84"/>
      <c r="BS742" s="942"/>
      <c r="BT742" s="942"/>
      <c r="BU742" s="942"/>
      <c r="BV742" s="84"/>
    </row>
    <row r="743" spans="14:74" ht="14.25">
      <c r="N743" s="84"/>
      <c r="O743" s="84"/>
      <c r="P743" s="84"/>
      <c r="Q743" s="84"/>
      <c r="R743" s="84"/>
      <c r="S743" s="84"/>
      <c r="T743" s="84"/>
      <c r="U743" s="84"/>
      <c r="V743" s="84"/>
      <c r="W743" s="84"/>
      <c r="Y743" s="84"/>
      <c r="Z743" s="84"/>
      <c r="AA743" s="84"/>
      <c r="AB743" s="84"/>
      <c r="AC743" s="84"/>
      <c r="AD743" s="84"/>
      <c r="AE743" s="84"/>
      <c r="AF743" s="84"/>
      <c r="AG743" s="84"/>
      <c r="AH743" s="84"/>
      <c r="AI743" s="84"/>
      <c r="AL743" s="84"/>
      <c r="AM743" s="84"/>
      <c r="AN743" s="84"/>
      <c r="AO743" s="84"/>
      <c r="AP743" s="84"/>
      <c r="AQ743" s="84"/>
      <c r="AR743" s="84"/>
      <c r="AS743" s="84"/>
      <c r="AT743" s="84"/>
      <c r="AU743" s="84"/>
      <c r="AV743" s="84"/>
      <c r="AY743" s="84"/>
      <c r="AZ743" s="84"/>
      <c r="BA743" s="84"/>
      <c r="BB743" s="84"/>
      <c r="BC743" s="84"/>
      <c r="BD743" s="84"/>
      <c r="BE743" s="84"/>
      <c r="BF743" s="942"/>
      <c r="BG743" s="942"/>
      <c r="BH743" s="942"/>
      <c r="BI743" s="84"/>
      <c r="BL743" s="84"/>
      <c r="BM743" s="84"/>
      <c r="BN743" s="84"/>
      <c r="BO743" s="84"/>
      <c r="BP743" s="84"/>
      <c r="BQ743" s="84"/>
      <c r="BR743" s="84"/>
      <c r="BS743" s="942"/>
      <c r="BT743" s="942"/>
      <c r="BU743" s="942"/>
      <c r="BV743" s="84"/>
    </row>
    <row r="744" spans="14:74" ht="14.25">
      <c r="N744" s="84"/>
      <c r="O744" s="84"/>
      <c r="P744" s="84"/>
      <c r="Q744" s="84"/>
      <c r="R744" s="84"/>
      <c r="S744" s="84"/>
      <c r="T744" s="84"/>
      <c r="U744" s="84"/>
      <c r="V744" s="84"/>
      <c r="W744" s="84"/>
      <c r="Y744" s="84"/>
      <c r="Z744" s="84"/>
      <c r="AA744" s="84"/>
      <c r="AB744" s="84"/>
      <c r="AC744" s="84"/>
      <c r="AD744" s="84"/>
      <c r="AE744" s="84"/>
      <c r="AF744" s="84"/>
      <c r="AG744" s="84"/>
      <c r="AH744" s="84"/>
      <c r="AI744" s="84"/>
      <c r="AL744" s="84"/>
      <c r="AM744" s="84"/>
      <c r="AN744" s="84"/>
      <c r="AO744" s="84"/>
      <c r="AP744" s="84"/>
      <c r="AQ744" s="84"/>
      <c r="AR744" s="84"/>
      <c r="AS744" s="84"/>
      <c r="AT744" s="84"/>
      <c r="AU744" s="84"/>
      <c r="AV744" s="84"/>
      <c r="AY744" s="84"/>
      <c r="AZ744" s="84"/>
      <c r="BA744" s="84"/>
      <c r="BB744" s="84"/>
      <c r="BC744" s="84"/>
      <c r="BD744" s="84"/>
      <c r="BE744" s="84"/>
      <c r="BF744" s="942"/>
      <c r="BG744" s="942"/>
      <c r="BH744" s="942"/>
      <c r="BI744" s="84"/>
      <c r="BL744" s="84"/>
      <c r="BM744" s="84"/>
      <c r="BN744" s="84"/>
      <c r="BO744" s="84"/>
      <c r="BP744" s="84"/>
      <c r="BQ744" s="84"/>
      <c r="BR744" s="84"/>
      <c r="BS744" s="942"/>
      <c r="BT744" s="942"/>
      <c r="BU744" s="942"/>
      <c r="BV744" s="84"/>
    </row>
    <row r="745" spans="14:74" ht="14.25">
      <c r="N745" s="84"/>
      <c r="O745" s="84"/>
      <c r="P745" s="84"/>
      <c r="Q745" s="84"/>
      <c r="R745" s="84"/>
      <c r="S745" s="84"/>
      <c r="T745" s="84"/>
      <c r="U745" s="84"/>
      <c r="V745" s="84"/>
      <c r="W745" s="84"/>
      <c r="Y745" s="84"/>
      <c r="Z745" s="84"/>
      <c r="AA745" s="84"/>
      <c r="AB745" s="84"/>
      <c r="AC745" s="84"/>
      <c r="AD745" s="84"/>
      <c r="AE745" s="84"/>
      <c r="AF745" s="84"/>
      <c r="AG745" s="84"/>
      <c r="AH745" s="84"/>
      <c r="AI745" s="84"/>
      <c r="AL745" s="84"/>
      <c r="AM745" s="84"/>
      <c r="AN745" s="84"/>
      <c r="AO745" s="84"/>
      <c r="AP745" s="84"/>
      <c r="AQ745" s="84"/>
      <c r="AR745" s="84"/>
      <c r="AS745" s="84"/>
      <c r="AT745" s="84"/>
      <c r="AU745" s="84"/>
      <c r="AV745" s="84"/>
      <c r="AY745" s="84"/>
      <c r="AZ745" s="84"/>
      <c r="BA745" s="84"/>
      <c r="BB745" s="84"/>
      <c r="BC745" s="84"/>
      <c r="BD745" s="84"/>
      <c r="BE745" s="84"/>
      <c r="BF745" s="942"/>
      <c r="BG745" s="942"/>
      <c r="BH745" s="942"/>
      <c r="BI745" s="84"/>
      <c r="BL745" s="84"/>
      <c r="BM745" s="84"/>
      <c r="BN745" s="84"/>
      <c r="BO745" s="84"/>
      <c r="BP745" s="84"/>
      <c r="BQ745" s="84"/>
      <c r="BR745" s="84"/>
      <c r="BS745" s="942"/>
      <c r="BT745" s="942"/>
      <c r="BU745" s="942"/>
      <c r="BV745" s="84"/>
    </row>
    <row r="746" spans="14:74" ht="14.25">
      <c r="N746" s="84"/>
      <c r="O746" s="84"/>
      <c r="P746" s="84"/>
      <c r="Q746" s="84"/>
      <c r="R746" s="84"/>
      <c r="S746" s="84"/>
      <c r="T746" s="84"/>
      <c r="U746" s="84"/>
      <c r="V746" s="84"/>
      <c r="W746" s="84"/>
      <c r="Y746" s="84"/>
      <c r="Z746" s="84"/>
      <c r="AA746" s="84"/>
      <c r="AB746" s="84"/>
      <c r="AC746" s="84"/>
      <c r="AD746" s="84"/>
      <c r="AE746" s="84"/>
      <c r="AF746" s="84"/>
      <c r="AG746" s="84"/>
      <c r="AH746" s="84"/>
      <c r="AI746" s="84"/>
      <c r="AL746" s="84"/>
      <c r="AM746" s="84"/>
      <c r="AN746" s="84"/>
      <c r="AO746" s="84"/>
      <c r="AP746" s="84"/>
      <c r="AQ746" s="84"/>
      <c r="AR746" s="84"/>
      <c r="AS746" s="84"/>
      <c r="AT746" s="84"/>
      <c r="AU746" s="84"/>
      <c r="AV746" s="84"/>
      <c r="AY746" s="84"/>
      <c r="AZ746" s="84"/>
      <c r="BA746" s="84"/>
      <c r="BB746" s="84"/>
      <c r="BC746" s="84"/>
      <c r="BD746" s="84"/>
      <c r="BE746" s="84"/>
      <c r="BF746" s="942"/>
      <c r="BG746" s="942"/>
      <c r="BH746" s="942"/>
      <c r="BI746" s="84"/>
      <c r="BL746" s="84"/>
      <c r="BM746" s="84"/>
      <c r="BN746" s="84"/>
      <c r="BO746" s="84"/>
      <c r="BP746" s="84"/>
      <c r="BQ746" s="84"/>
      <c r="BR746" s="84"/>
      <c r="BS746" s="942"/>
      <c r="BT746" s="942"/>
      <c r="BU746" s="942"/>
      <c r="BV746" s="84"/>
    </row>
    <row r="747" spans="14:74" ht="14.25">
      <c r="N747" s="84"/>
      <c r="O747" s="84"/>
      <c r="P747" s="84"/>
      <c r="Q747" s="84"/>
      <c r="R747" s="84"/>
      <c r="S747" s="84"/>
      <c r="T747" s="84"/>
      <c r="U747" s="84"/>
      <c r="V747" s="84"/>
      <c r="W747" s="84"/>
      <c r="Y747" s="84"/>
      <c r="Z747" s="84"/>
      <c r="AA747" s="84"/>
      <c r="AB747" s="84"/>
      <c r="AC747" s="84"/>
      <c r="AD747" s="84"/>
      <c r="AE747" s="84"/>
      <c r="AF747" s="84"/>
      <c r="AG747" s="84"/>
      <c r="AH747" s="84"/>
      <c r="AI747" s="84"/>
      <c r="AL747" s="84"/>
      <c r="AM747" s="84"/>
      <c r="AN747" s="84"/>
      <c r="AO747" s="84"/>
      <c r="AP747" s="84"/>
      <c r="AQ747" s="84"/>
      <c r="AR747" s="84"/>
      <c r="AS747" s="84"/>
      <c r="AT747" s="84"/>
      <c r="AU747" s="84"/>
      <c r="AV747" s="84"/>
      <c r="AY747" s="84"/>
      <c r="AZ747" s="84"/>
      <c r="BA747" s="84"/>
      <c r="BB747" s="84"/>
      <c r="BC747" s="84"/>
      <c r="BD747" s="84"/>
      <c r="BE747" s="84"/>
      <c r="BF747" s="942"/>
      <c r="BG747" s="942"/>
      <c r="BH747" s="942"/>
      <c r="BI747" s="84"/>
      <c r="BL747" s="84"/>
      <c r="BM747" s="84"/>
      <c r="BN747" s="84"/>
      <c r="BO747" s="84"/>
      <c r="BP747" s="84"/>
      <c r="BQ747" s="84"/>
      <c r="BR747" s="84"/>
      <c r="BS747" s="942"/>
      <c r="BT747" s="942"/>
      <c r="BU747" s="942"/>
      <c r="BV747" s="84"/>
    </row>
    <row r="748" spans="14:74" ht="14.25">
      <c r="N748" s="84"/>
      <c r="O748" s="84"/>
      <c r="P748" s="84"/>
      <c r="Q748" s="84"/>
      <c r="R748" s="84"/>
      <c r="S748" s="84"/>
      <c r="T748" s="84"/>
      <c r="U748" s="84"/>
      <c r="V748" s="84"/>
      <c r="W748" s="84"/>
      <c r="Y748" s="84"/>
      <c r="Z748" s="84"/>
      <c r="AA748" s="84"/>
      <c r="AB748" s="84"/>
      <c r="AC748" s="84"/>
      <c r="AD748" s="84"/>
      <c r="AE748" s="84"/>
      <c r="AF748" s="84"/>
      <c r="AG748" s="84"/>
      <c r="AH748" s="84"/>
      <c r="AI748" s="84"/>
      <c r="AL748" s="84"/>
      <c r="AM748" s="84"/>
      <c r="AN748" s="84"/>
      <c r="AO748" s="84"/>
      <c r="AP748" s="84"/>
      <c r="AQ748" s="84"/>
      <c r="AR748" s="84"/>
      <c r="AS748" s="84"/>
      <c r="AT748" s="84"/>
      <c r="AU748" s="84"/>
      <c r="AV748" s="84"/>
      <c r="AY748" s="84"/>
      <c r="AZ748" s="84"/>
      <c r="BA748" s="84"/>
      <c r="BB748" s="84"/>
      <c r="BC748" s="84"/>
      <c r="BD748" s="84"/>
      <c r="BE748" s="84"/>
      <c r="BF748" s="942"/>
      <c r="BG748" s="942"/>
      <c r="BH748" s="942"/>
      <c r="BI748" s="84"/>
      <c r="BL748" s="84"/>
      <c r="BM748" s="84"/>
      <c r="BN748" s="84"/>
      <c r="BO748" s="84"/>
      <c r="BP748" s="84"/>
      <c r="BQ748" s="84"/>
      <c r="BR748" s="84"/>
      <c r="BS748" s="942"/>
      <c r="BT748" s="942"/>
      <c r="BU748" s="942"/>
      <c r="BV748" s="84"/>
    </row>
    <row r="749" spans="14:74" ht="14.25">
      <c r="N749" s="84"/>
      <c r="O749" s="84"/>
      <c r="P749" s="84"/>
      <c r="Q749" s="84"/>
      <c r="R749" s="84"/>
      <c r="S749" s="84"/>
      <c r="T749" s="84"/>
      <c r="U749" s="84"/>
      <c r="V749" s="84"/>
      <c r="W749" s="84"/>
      <c r="Y749" s="84"/>
      <c r="Z749" s="84"/>
      <c r="AA749" s="84"/>
      <c r="AB749" s="84"/>
      <c r="AC749" s="84"/>
      <c r="AD749" s="84"/>
      <c r="AE749" s="84"/>
      <c r="AF749" s="84"/>
      <c r="AG749" s="84"/>
      <c r="AH749" s="84"/>
      <c r="AI749" s="84"/>
      <c r="AL749" s="84"/>
      <c r="AM749" s="84"/>
      <c r="AN749" s="84"/>
      <c r="AO749" s="84"/>
      <c r="AP749" s="84"/>
      <c r="AQ749" s="84"/>
      <c r="AR749" s="84"/>
      <c r="AS749" s="84"/>
      <c r="AT749" s="84"/>
      <c r="AU749" s="84"/>
      <c r="AV749" s="84"/>
      <c r="AY749" s="84"/>
      <c r="AZ749" s="84"/>
      <c r="BA749" s="84"/>
      <c r="BB749" s="84"/>
      <c r="BC749" s="84"/>
      <c r="BD749" s="84"/>
      <c r="BE749" s="84"/>
      <c r="BF749" s="942"/>
      <c r="BG749" s="942"/>
      <c r="BH749" s="942"/>
      <c r="BI749" s="84"/>
      <c r="BL749" s="84"/>
      <c r="BM749" s="84"/>
      <c r="BN749" s="84"/>
      <c r="BO749" s="84"/>
      <c r="BP749" s="84"/>
      <c r="BQ749" s="84"/>
      <c r="BR749" s="84"/>
      <c r="BS749" s="942"/>
      <c r="BT749" s="942"/>
      <c r="BU749" s="942"/>
      <c r="BV749" s="84"/>
    </row>
    <row r="750" spans="14:74" ht="14.25">
      <c r="N750" s="84"/>
      <c r="O750" s="84"/>
      <c r="P750" s="84"/>
      <c r="Q750" s="84"/>
      <c r="R750" s="84"/>
      <c r="S750" s="84"/>
      <c r="T750" s="84"/>
      <c r="U750" s="84"/>
      <c r="V750" s="84"/>
      <c r="W750" s="84"/>
      <c r="Y750" s="84"/>
      <c r="Z750" s="84"/>
      <c r="AA750" s="84"/>
      <c r="AB750" s="84"/>
      <c r="AC750" s="84"/>
      <c r="AD750" s="84"/>
      <c r="AE750" s="84"/>
      <c r="AF750" s="84"/>
      <c r="AG750" s="84"/>
      <c r="AH750" s="84"/>
      <c r="AI750" s="84"/>
      <c r="AL750" s="84"/>
      <c r="AM750" s="84"/>
      <c r="AN750" s="84"/>
      <c r="AO750" s="84"/>
      <c r="AP750" s="84"/>
      <c r="AQ750" s="84"/>
      <c r="AR750" s="84"/>
      <c r="AS750" s="84"/>
      <c r="AT750" s="84"/>
      <c r="AU750" s="84"/>
      <c r="AV750" s="84"/>
      <c r="AY750" s="84"/>
      <c r="AZ750" s="84"/>
      <c r="BA750" s="84"/>
      <c r="BB750" s="84"/>
      <c r="BC750" s="84"/>
      <c r="BD750" s="84"/>
      <c r="BE750" s="84"/>
      <c r="BF750" s="942"/>
      <c r="BG750" s="942"/>
      <c r="BH750" s="942"/>
      <c r="BI750" s="84"/>
      <c r="BL750" s="84"/>
      <c r="BM750" s="84"/>
      <c r="BN750" s="84"/>
      <c r="BO750" s="84"/>
      <c r="BP750" s="84"/>
      <c r="BQ750" s="84"/>
      <c r="BR750" s="84"/>
      <c r="BS750" s="942"/>
      <c r="BT750" s="942"/>
      <c r="BU750" s="942"/>
      <c r="BV750" s="84"/>
    </row>
    <row r="751" spans="14:74" ht="14.25">
      <c r="N751" s="84"/>
      <c r="O751" s="84"/>
      <c r="P751" s="84"/>
      <c r="Q751" s="84"/>
      <c r="R751" s="84"/>
      <c r="S751" s="84"/>
      <c r="T751" s="84"/>
      <c r="U751" s="84"/>
      <c r="V751" s="84"/>
      <c r="W751" s="84"/>
      <c r="Y751" s="84"/>
      <c r="Z751" s="84"/>
      <c r="AA751" s="84"/>
      <c r="AB751" s="84"/>
      <c r="AC751" s="84"/>
      <c r="AD751" s="84"/>
      <c r="AE751" s="84"/>
      <c r="AF751" s="84"/>
      <c r="AG751" s="84"/>
      <c r="AH751" s="84"/>
      <c r="AI751" s="84"/>
      <c r="AL751" s="84"/>
      <c r="AM751" s="84"/>
      <c r="AN751" s="84"/>
      <c r="AO751" s="84"/>
      <c r="AP751" s="84"/>
      <c r="AQ751" s="84"/>
      <c r="AR751" s="84"/>
      <c r="AS751" s="84"/>
      <c r="AT751" s="84"/>
      <c r="AU751" s="84"/>
      <c r="AV751" s="84"/>
      <c r="AY751" s="84"/>
      <c r="AZ751" s="84"/>
      <c r="BA751" s="84"/>
      <c r="BB751" s="84"/>
      <c r="BC751" s="84"/>
      <c r="BD751" s="84"/>
      <c r="BE751" s="84"/>
      <c r="BF751" s="942"/>
      <c r="BG751" s="942"/>
      <c r="BH751" s="942"/>
      <c r="BI751" s="84"/>
      <c r="BL751" s="84"/>
      <c r="BM751" s="84"/>
      <c r="BN751" s="84"/>
      <c r="BO751" s="84"/>
      <c r="BP751" s="84"/>
      <c r="BQ751" s="84"/>
      <c r="BR751" s="84"/>
      <c r="BS751" s="942"/>
      <c r="BT751" s="942"/>
      <c r="BU751" s="942"/>
      <c r="BV751" s="84"/>
    </row>
    <row r="752" spans="14:74" ht="14.25">
      <c r="N752" s="84"/>
      <c r="O752" s="84"/>
      <c r="P752" s="84"/>
      <c r="Q752" s="84"/>
      <c r="R752" s="84"/>
      <c r="S752" s="84"/>
      <c r="T752" s="84"/>
      <c r="U752" s="84"/>
      <c r="V752" s="84"/>
      <c r="W752" s="84"/>
      <c r="Y752" s="84"/>
      <c r="Z752" s="84"/>
      <c r="AA752" s="84"/>
      <c r="AB752" s="84"/>
      <c r="AC752" s="84"/>
      <c r="AD752" s="84"/>
      <c r="AE752" s="84"/>
      <c r="AF752" s="84"/>
      <c r="AG752" s="84"/>
      <c r="AH752" s="84"/>
      <c r="AI752" s="84"/>
      <c r="AL752" s="84"/>
      <c r="AM752" s="84"/>
      <c r="AN752" s="84"/>
      <c r="AO752" s="84"/>
      <c r="AP752" s="84"/>
      <c r="AQ752" s="84"/>
      <c r="AR752" s="84"/>
      <c r="AS752" s="84"/>
      <c r="AT752" s="84"/>
      <c r="AU752" s="84"/>
      <c r="AV752" s="84"/>
      <c r="AY752" s="84"/>
      <c r="AZ752" s="84"/>
      <c r="BA752" s="84"/>
      <c r="BB752" s="84"/>
      <c r="BC752" s="84"/>
      <c r="BD752" s="84"/>
      <c r="BE752" s="84"/>
      <c r="BF752" s="942"/>
      <c r="BG752" s="942"/>
      <c r="BH752" s="942"/>
      <c r="BI752" s="84"/>
      <c r="BL752" s="84"/>
      <c r="BM752" s="84"/>
      <c r="BN752" s="84"/>
      <c r="BO752" s="84"/>
      <c r="BP752" s="84"/>
      <c r="BQ752" s="84"/>
      <c r="BR752" s="84"/>
      <c r="BS752" s="942"/>
      <c r="BT752" s="942"/>
      <c r="BU752" s="942"/>
      <c r="BV752" s="84"/>
    </row>
    <row r="753" spans="14:74" ht="14.25">
      <c r="N753" s="84"/>
      <c r="O753" s="84"/>
      <c r="P753" s="84"/>
      <c r="Q753" s="84"/>
      <c r="R753" s="84"/>
      <c r="S753" s="84"/>
      <c r="T753" s="84"/>
      <c r="U753" s="84"/>
      <c r="V753" s="84"/>
      <c r="W753" s="84"/>
      <c r="Y753" s="84"/>
      <c r="Z753" s="84"/>
      <c r="AA753" s="84"/>
      <c r="AB753" s="84"/>
      <c r="AC753" s="84"/>
      <c r="AD753" s="84"/>
      <c r="AE753" s="84"/>
      <c r="AF753" s="84"/>
      <c r="AG753" s="84"/>
      <c r="AH753" s="84"/>
      <c r="AI753" s="84"/>
      <c r="AL753" s="84"/>
      <c r="AM753" s="84"/>
      <c r="AN753" s="84"/>
      <c r="AO753" s="84"/>
      <c r="AP753" s="84"/>
      <c r="AQ753" s="84"/>
      <c r="AR753" s="84"/>
      <c r="AS753" s="84"/>
      <c r="AT753" s="84"/>
      <c r="AU753" s="84"/>
      <c r="AV753" s="84"/>
      <c r="AY753" s="84"/>
      <c r="AZ753" s="84"/>
      <c r="BA753" s="84"/>
      <c r="BB753" s="84"/>
      <c r="BC753" s="84"/>
      <c r="BD753" s="84"/>
      <c r="BE753" s="84"/>
      <c r="BF753" s="942"/>
      <c r="BG753" s="942"/>
      <c r="BH753" s="942"/>
      <c r="BI753" s="84"/>
      <c r="BL753" s="84"/>
      <c r="BM753" s="84"/>
      <c r="BN753" s="84"/>
      <c r="BO753" s="84"/>
      <c r="BP753" s="84"/>
      <c r="BQ753" s="84"/>
      <c r="BR753" s="84"/>
      <c r="BS753" s="942"/>
      <c r="BT753" s="942"/>
      <c r="BU753" s="942"/>
      <c r="BV753" s="84"/>
    </row>
    <row r="754" spans="14:74" ht="14.25">
      <c r="N754" s="84"/>
      <c r="O754" s="84"/>
      <c r="P754" s="84"/>
      <c r="Q754" s="84"/>
      <c r="R754" s="84"/>
      <c r="S754" s="84"/>
      <c r="T754" s="84"/>
      <c r="U754" s="84"/>
      <c r="V754" s="84"/>
      <c r="W754" s="84"/>
      <c r="Y754" s="84"/>
      <c r="Z754" s="84"/>
      <c r="AA754" s="84"/>
      <c r="AB754" s="84"/>
      <c r="AC754" s="84"/>
      <c r="AD754" s="84"/>
      <c r="AE754" s="84"/>
      <c r="AF754" s="84"/>
      <c r="AG754" s="84"/>
      <c r="AH754" s="84"/>
      <c r="AI754" s="84"/>
      <c r="AL754" s="84"/>
      <c r="AM754" s="84"/>
      <c r="AN754" s="84"/>
      <c r="AO754" s="84"/>
      <c r="AP754" s="84"/>
      <c r="AQ754" s="84"/>
      <c r="AR754" s="84"/>
      <c r="AS754" s="84"/>
      <c r="AT754" s="84"/>
      <c r="AU754" s="84"/>
      <c r="AV754" s="84"/>
      <c r="AY754" s="84"/>
      <c r="AZ754" s="84"/>
      <c r="BA754" s="84"/>
      <c r="BB754" s="84"/>
      <c r="BC754" s="84"/>
      <c r="BD754" s="84"/>
      <c r="BE754" s="84"/>
      <c r="BF754" s="942"/>
      <c r="BG754" s="942"/>
      <c r="BH754" s="942"/>
      <c r="BI754" s="84"/>
      <c r="BL754" s="84"/>
      <c r="BM754" s="84"/>
      <c r="BN754" s="84"/>
      <c r="BO754" s="84"/>
      <c r="BP754" s="84"/>
      <c r="BQ754" s="84"/>
      <c r="BR754" s="84"/>
      <c r="BS754" s="942"/>
      <c r="BT754" s="942"/>
      <c r="BU754" s="942"/>
      <c r="BV754" s="84"/>
    </row>
    <row r="755" spans="14:74" ht="14.25">
      <c r="N755" s="84"/>
      <c r="O755" s="84"/>
      <c r="P755" s="84"/>
      <c r="Q755" s="84"/>
      <c r="R755" s="84"/>
      <c r="S755" s="84"/>
      <c r="T755" s="84"/>
      <c r="U755" s="84"/>
      <c r="V755" s="84"/>
      <c r="W755" s="84"/>
      <c r="Y755" s="84"/>
      <c r="Z755" s="84"/>
      <c r="AA755" s="84"/>
      <c r="AB755" s="84"/>
      <c r="AC755" s="84"/>
      <c r="AD755" s="84"/>
      <c r="AE755" s="84"/>
      <c r="AF755" s="84"/>
      <c r="AG755" s="84"/>
      <c r="AH755" s="84"/>
      <c r="AI755" s="84"/>
      <c r="AL755" s="84"/>
      <c r="AM755" s="84"/>
      <c r="AN755" s="84"/>
      <c r="AO755" s="84"/>
      <c r="AP755" s="84"/>
      <c r="AQ755" s="84"/>
      <c r="AR755" s="84"/>
      <c r="AS755" s="84"/>
      <c r="AT755" s="84"/>
      <c r="AU755" s="84"/>
      <c r="AV755" s="84"/>
      <c r="AY755" s="84"/>
      <c r="AZ755" s="84"/>
      <c r="BA755" s="84"/>
      <c r="BB755" s="84"/>
      <c r="BC755" s="84"/>
      <c r="BD755" s="84"/>
      <c r="BE755" s="84"/>
      <c r="BF755" s="942"/>
      <c r="BG755" s="942"/>
      <c r="BH755" s="942"/>
      <c r="BI755" s="84"/>
      <c r="BL755" s="84"/>
      <c r="BM755" s="84"/>
      <c r="BN755" s="84"/>
      <c r="BO755" s="84"/>
      <c r="BP755" s="84"/>
      <c r="BQ755" s="84"/>
      <c r="BR755" s="84"/>
      <c r="BS755" s="942"/>
      <c r="BT755" s="942"/>
      <c r="BU755" s="942"/>
      <c r="BV755" s="84"/>
    </row>
    <row r="756" spans="14:74" ht="14.25">
      <c r="N756" s="84"/>
      <c r="O756" s="84"/>
      <c r="P756" s="84"/>
      <c r="Q756" s="84"/>
      <c r="R756" s="84"/>
      <c r="S756" s="84"/>
      <c r="T756" s="84"/>
      <c r="U756" s="84"/>
      <c r="V756" s="84"/>
      <c r="W756" s="84"/>
      <c r="Y756" s="84"/>
      <c r="Z756" s="84"/>
      <c r="AA756" s="84"/>
      <c r="AB756" s="84"/>
      <c r="AC756" s="84"/>
      <c r="AD756" s="84"/>
      <c r="AE756" s="84"/>
      <c r="AF756" s="84"/>
      <c r="AG756" s="84"/>
      <c r="AH756" s="84"/>
      <c r="AI756" s="84"/>
      <c r="AL756" s="84"/>
      <c r="AM756" s="84"/>
      <c r="AN756" s="84"/>
      <c r="AO756" s="84"/>
      <c r="AP756" s="84"/>
      <c r="AQ756" s="84"/>
      <c r="AR756" s="84"/>
      <c r="AS756" s="84"/>
      <c r="AT756" s="84"/>
      <c r="AU756" s="84"/>
      <c r="AV756" s="84"/>
      <c r="AY756" s="84"/>
      <c r="AZ756" s="84"/>
      <c r="BA756" s="84"/>
      <c r="BB756" s="84"/>
      <c r="BC756" s="84"/>
      <c r="BD756" s="84"/>
      <c r="BE756" s="84"/>
      <c r="BF756" s="942"/>
      <c r="BG756" s="942"/>
      <c r="BH756" s="942"/>
      <c r="BI756" s="84"/>
      <c r="BL756" s="84"/>
      <c r="BM756" s="84"/>
      <c r="BN756" s="84"/>
      <c r="BO756" s="84"/>
      <c r="BP756" s="84"/>
      <c r="BQ756" s="84"/>
      <c r="BR756" s="84"/>
      <c r="BS756" s="942"/>
      <c r="BT756" s="942"/>
      <c r="BU756" s="942"/>
      <c r="BV756" s="84"/>
    </row>
    <row r="757" spans="14:74" ht="14.25">
      <c r="N757" s="84"/>
      <c r="O757" s="84"/>
      <c r="P757" s="84"/>
      <c r="Q757" s="84"/>
      <c r="R757" s="84"/>
      <c r="S757" s="84"/>
      <c r="T757" s="84"/>
      <c r="U757" s="84"/>
      <c r="V757" s="84"/>
      <c r="W757" s="84"/>
      <c r="Y757" s="84"/>
      <c r="Z757" s="84"/>
      <c r="AA757" s="84"/>
      <c r="AB757" s="84"/>
      <c r="AC757" s="84"/>
      <c r="AD757" s="84"/>
      <c r="AE757" s="84"/>
      <c r="AF757" s="84"/>
      <c r="AG757" s="84"/>
      <c r="AH757" s="84"/>
      <c r="AI757" s="84"/>
      <c r="AL757" s="84"/>
      <c r="AM757" s="84"/>
      <c r="AN757" s="84"/>
      <c r="AO757" s="84"/>
      <c r="AP757" s="84"/>
      <c r="AQ757" s="84"/>
      <c r="AR757" s="84"/>
      <c r="AS757" s="84"/>
      <c r="AT757" s="84"/>
      <c r="AU757" s="84"/>
      <c r="AV757" s="84"/>
      <c r="AY757" s="84"/>
      <c r="AZ757" s="84"/>
      <c r="BA757" s="84"/>
      <c r="BB757" s="84"/>
      <c r="BC757" s="84"/>
      <c r="BD757" s="84"/>
      <c r="BE757" s="84"/>
      <c r="BF757" s="942"/>
      <c r="BG757" s="942"/>
      <c r="BH757" s="942"/>
      <c r="BI757" s="84"/>
      <c r="BL757" s="84"/>
      <c r="BM757" s="84"/>
      <c r="BN757" s="84"/>
      <c r="BO757" s="84"/>
      <c r="BP757" s="84"/>
      <c r="BQ757" s="84"/>
      <c r="BR757" s="84"/>
      <c r="BS757" s="942"/>
      <c r="BT757" s="942"/>
      <c r="BU757" s="942"/>
      <c r="BV757" s="84"/>
    </row>
    <row r="758" spans="14:74" ht="14.25">
      <c r="N758" s="84"/>
      <c r="O758" s="84"/>
      <c r="P758" s="84"/>
      <c r="Q758" s="84"/>
      <c r="R758" s="84"/>
      <c r="S758" s="84"/>
      <c r="T758" s="84"/>
      <c r="U758" s="84"/>
      <c r="V758" s="84"/>
      <c r="W758" s="84"/>
      <c r="Y758" s="84"/>
      <c r="Z758" s="84"/>
      <c r="AA758" s="84"/>
      <c r="AB758" s="84"/>
      <c r="AC758" s="84"/>
      <c r="AD758" s="84"/>
      <c r="AE758" s="84"/>
      <c r="AF758" s="84"/>
      <c r="AG758" s="84"/>
      <c r="AH758" s="84"/>
      <c r="AI758" s="84"/>
      <c r="AL758" s="84"/>
      <c r="AM758" s="84"/>
      <c r="AN758" s="84"/>
      <c r="AO758" s="84"/>
      <c r="AP758" s="84"/>
      <c r="AQ758" s="84"/>
      <c r="AR758" s="84"/>
      <c r="AS758" s="84"/>
      <c r="AT758" s="84"/>
      <c r="AU758" s="84"/>
      <c r="AV758" s="84"/>
      <c r="AY758" s="84"/>
      <c r="AZ758" s="84"/>
      <c r="BA758" s="84"/>
      <c r="BB758" s="84"/>
      <c r="BC758" s="84"/>
      <c r="BD758" s="84"/>
      <c r="BE758" s="84"/>
      <c r="BF758" s="942"/>
      <c r="BG758" s="942"/>
      <c r="BH758" s="942"/>
      <c r="BI758" s="84"/>
      <c r="BL758" s="84"/>
      <c r="BM758" s="84"/>
      <c r="BN758" s="84"/>
      <c r="BO758" s="84"/>
      <c r="BP758" s="84"/>
      <c r="BQ758" s="84"/>
      <c r="BR758" s="84"/>
      <c r="BS758" s="942"/>
      <c r="BT758" s="942"/>
      <c r="BU758" s="942"/>
      <c r="BV758" s="84"/>
    </row>
    <row r="759" spans="14:74" ht="14.25">
      <c r="N759" s="84"/>
      <c r="O759" s="84"/>
      <c r="P759" s="84"/>
      <c r="Q759" s="84"/>
      <c r="R759" s="84"/>
      <c r="S759" s="84"/>
      <c r="T759" s="84"/>
      <c r="U759" s="84"/>
      <c r="V759" s="84"/>
      <c r="W759" s="84"/>
      <c r="Y759" s="84"/>
      <c r="Z759" s="84"/>
      <c r="AA759" s="84"/>
      <c r="AB759" s="84"/>
      <c r="AC759" s="84"/>
      <c r="AD759" s="84"/>
      <c r="AE759" s="84"/>
      <c r="AF759" s="84"/>
      <c r="AG759" s="84"/>
      <c r="AH759" s="84"/>
      <c r="AI759" s="84"/>
      <c r="AL759" s="84"/>
      <c r="AM759" s="84"/>
      <c r="AN759" s="84"/>
      <c r="AO759" s="84"/>
      <c r="AP759" s="84"/>
      <c r="AQ759" s="84"/>
      <c r="AR759" s="84"/>
      <c r="AS759" s="84"/>
      <c r="AT759" s="84"/>
      <c r="AU759" s="84"/>
      <c r="AV759" s="84"/>
      <c r="AY759" s="84"/>
      <c r="AZ759" s="84"/>
      <c r="BA759" s="84"/>
      <c r="BB759" s="84"/>
      <c r="BC759" s="84"/>
      <c r="BD759" s="84"/>
      <c r="BE759" s="84"/>
      <c r="BF759" s="942"/>
      <c r="BG759" s="942"/>
      <c r="BH759" s="942"/>
      <c r="BI759" s="84"/>
      <c r="BL759" s="84"/>
      <c r="BM759" s="84"/>
      <c r="BN759" s="84"/>
      <c r="BO759" s="84"/>
      <c r="BP759" s="84"/>
      <c r="BQ759" s="84"/>
      <c r="BR759" s="84"/>
      <c r="BS759" s="942"/>
      <c r="BT759" s="942"/>
      <c r="BU759" s="942"/>
      <c r="BV759" s="84"/>
    </row>
    <row r="760" spans="14:74" ht="14.25">
      <c r="N760" s="84"/>
      <c r="O760" s="84"/>
      <c r="P760" s="84"/>
      <c r="Q760" s="84"/>
      <c r="R760" s="84"/>
      <c r="S760" s="84"/>
      <c r="T760" s="84"/>
      <c r="U760" s="84"/>
      <c r="V760" s="84"/>
      <c r="W760" s="84"/>
      <c r="Y760" s="84"/>
      <c r="Z760" s="84"/>
      <c r="AA760" s="84"/>
      <c r="AB760" s="84"/>
      <c r="AC760" s="84"/>
      <c r="AD760" s="84"/>
      <c r="AE760" s="84"/>
      <c r="AF760" s="84"/>
      <c r="AG760" s="84"/>
      <c r="AH760" s="84"/>
      <c r="AI760" s="84"/>
      <c r="AL760" s="84"/>
      <c r="AM760" s="84"/>
      <c r="AN760" s="84"/>
      <c r="AO760" s="84"/>
      <c r="AP760" s="84"/>
      <c r="AQ760" s="84"/>
      <c r="AR760" s="84"/>
      <c r="AS760" s="84"/>
      <c r="AT760" s="84"/>
      <c r="AU760" s="84"/>
      <c r="AV760" s="84"/>
      <c r="AY760" s="84"/>
      <c r="AZ760" s="84"/>
      <c r="BA760" s="84"/>
      <c r="BB760" s="84"/>
      <c r="BC760" s="84"/>
      <c r="BD760" s="84"/>
      <c r="BE760" s="84"/>
      <c r="BF760" s="942"/>
      <c r="BG760" s="942"/>
      <c r="BH760" s="942"/>
      <c r="BI760" s="84"/>
      <c r="BL760" s="84"/>
      <c r="BM760" s="84"/>
      <c r="BN760" s="84"/>
      <c r="BO760" s="84"/>
      <c r="BP760" s="84"/>
      <c r="BQ760" s="84"/>
      <c r="BR760" s="84"/>
      <c r="BS760" s="942"/>
      <c r="BT760" s="942"/>
      <c r="BU760" s="942"/>
      <c r="BV760" s="84"/>
    </row>
    <row r="761" spans="14:74" ht="14.25">
      <c r="N761" s="84"/>
      <c r="O761" s="84"/>
      <c r="P761" s="84"/>
      <c r="Q761" s="84"/>
      <c r="R761" s="84"/>
      <c r="S761" s="84"/>
      <c r="T761" s="84"/>
      <c r="U761" s="84"/>
      <c r="V761" s="84"/>
      <c r="W761" s="84"/>
      <c r="Y761" s="84"/>
      <c r="Z761" s="84"/>
      <c r="AA761" s="84"/>
      <c r="AB761" s="84"/>
      <c r="AC761" s="84"/>
      <c r="AD761" s="84"/>
      <c r="AE761" s="84"/>
      <c r="AF761" s="84"/>
      <c r="AG761" s="84"/>
      <c r="AH761" s="84"/>
      <c r="AI761" s="84"/>
      <c r="AL761" s="84"/>
      <c r="AM761" s="84"/>
      <c r="AN761" s="84"/>
      <c r="AO761" s="84"/>
      <c r="AP761" s="84"/>
      <c r="AQ761" s="84"/>
      <c r="AR761" s="84"/>
      <c r="AS761" s="84"/>
      <c r="AT761" s="84"/>
      <c r="AU761" s="84"/>
      <c r="AV761" s="84"/>
      <c r="AY761" s="84"/>
      <c r="AZ761" s="84"/>
      <c r="BA761" s="84"/>
      <c r="BB761" s="84"/>
      <c r="BC761" s="84"/>
      <c r="BD761" s="84"/>
      <c r="BE761" s="84"/>
      <c r="BF761" s="942"/>
      <c r="BG761" s="942"/>
      <c r="BH761" s="942"/>
      <c r="BI761" s="84"/>
      <c r="BL761" s="84"/>
      <c r="BM761" s="84"/>
      <c r="BN761" s="84"/>
      <c r="BO761" s="84"/>
      <c r="BP761" s="84"/>
      <c r="BQ761" s="84"/>
      <c r="BR761" s="84"/>
      <c r="BS761" s="942"/>
      <c r="BT761" s="942"/>
      <c r="BU761" s="942"/>
      <c r="BV761" s="84"/>
    </row>
    <row r="762" spans="14:74" ht="14.25">
      <c r="N762" s="84"/>
      <c r="O762" s="84"/>
      <c r="P762" s="84"/>
      <c r="Q762" s="84"/>
      <c r="R762" s="84"/>
      <c r="S762" s="84"/>
      <c r="T762" s="84"/>
      <c r="U762" s="84"/>
      <c r="V762" s="84"/>
      <c r="W762" s="84"/>
      <c r="Y762" s="84"/>
      <c r="Z762" s="84"/>
      <c r="AA762" s="84"/>
      <c r="AB762" s="84"/>
      <c r="AC762" s="84"/>
      <c r="AD762" s="84"/>
      <c r="AE762" s="84"/>
      <c r="AF762" s="84"/>
      <c r="AG762" s="84"/>
      <c r="AH762" s="84"/>
      <c r="AI762" s="84"/>
      <c r="AL762" s="84"/>
      <c r="AM762" s="84"/>
      <c r="AN762" s="84"/>
      <c r="AO762" s="84"/>
      <c r="AP762" s="84"/>
      <c r="AQ762" s="84"/>
      <c r="AR762" s="84"/>
      <c r="AS762" s="84"/>
      <c r="AT762" s="84"/>
      <c r="AU762" s="84"/>
      <c r="AV762" s="84"/>
      <c r="AY762" s="84"/>
      <c r="AZ762" s="84"/>
      <c r="BA762" s="84"/>
      <c r="BB762" s="84"/>
      <c r="BC762" s="84"/>
      <c r="BD762" s="84"/>
      <c r="BE762" s="84"/>
      <c r="BF762" s="942"/>
      <c r="BG762" s="942"/>
      <c r="BH762" s="942"/>
      <c r="BI762" s="84"/>
      <c r="BL762" s="84"/>
      <c r="BM762" s="84"/>
      <c r="BN762" s="84"/>
      <c r="BO762" s="84"/>
      <c r="BP762" s="84"/>
      <c r="BQ762" s="84"/>
      <c r="BR762" s="84"/>
      <c r="BS762" s="942"/>
      <c r="BT762" s="942"/>
      <c r="BU762" s="942"/>
      <c r="BV762" s="84"/>
    </row>
    <row r="763" spans="14:74" ht="14.25">
      <c r="N763" s="84"/>
      <c r="O763" s="84"/>
      <c r="P763" s="84"/>
      <c r="Q763" s="84"/>
      <c r="R763" s="84"/>
      <c r="S763" s="84"/>
      <c r="T763" s="84"/>
      <c r="U763" s="84"/>
      <c r="V763" s="84"/>
      <c r="W763" s="84"/>
      <c r="Y763" s="84"/>
      <c r="Z763" s="84"/>
      <c r="AA763" s="84"/>
      <c r="AB763" s="84"/>
      <c r="AC763" s="84"/>
      <c r="AD763" s="84"/>
      <c r="AE763" s="84"/>
      <c r="AF763" s="84"/>
      <c r="AG763" s="84"/>
      <c r="AH763" s="84"/>
      <c r="AI763" s="84"/>
      <c r="AL763" s="84"/>
      <c r="AM763" s="84"/>
      <c r="AN763" s="84"/>
      <c r="AO763" s="84"/>
      <c r="AP763" s="84"/>
      <c r="AQ763" s="84"/>
      <c r="AR763" s="84"/>
      <c r="AS763" s="84"/>
      <c r="AT763" s="84"/>
      <c r="AU763" s="84"/>
      <c r="AV763" s="84"/>
      <c r="AY763" s="84"/>
      <c r="AZ763" s="84"/>
      <c r="BA763" s="84"/>
      <c r="BB763" s="84"/>
      <c r="BC763" s="84"/>
      <c r="BD763" s="84"/>
      <c r="BE763" s="84"/>
      <c r="BF763" s="942"/>
      <c r="BG763" s="942"/>
      <c r="BH763" s="942"/>
      <c r="BI763" s="84"/>
      <c r="BL763" s="84"/>
      <c r="BM763" s="84"/>
      <c r="BN763" s="84"/>
      <c r="BO763" s="84"/>
      <c r="BP763" s="84"/>
      <c r="BQ763" s="84"/>
      <c r="BR763" s="84"/>
      <c r="BS763" s="942"/>
      <c r="BT763" s="942"/>
      <c r="BU763" s="942"/>
      <c r="BV763" s="84"/>
    </row>
    <row r="764" spans="14:74" ht="14.25">
      <c r="N764" s="84"/>
      <c r="O764" s="84"/>
      <c r="P764" s="84"/>
      <c r="Q764" s="84"/>
      <c r="R764" s="84"/>
      <c r="S764" s="84"/>
      <c r="T764" s="84"/>
      <c r="U764" s="84"/>
      <c r="V764" s="84"/>
      <c r="W764" s="84"/>
      <c r="Y764" s="84"/>
      <c r="Z764" s="84"/>
      <c r="AA764" s="84"/>
      <c r="AB764" s="84"/>
      <c r="AC764" s="84"/>
      <c r="AD764" s="84"/>
      <c r="AE764" s="84"/>
      <c r="AF764" s="84"/>
      <c r="AG764" s="84"/>
      <c r="AH764" s="84"/>
      <c r="AI764" s="84"/>
      <c r="AL764" s="84"/>
      <c r="AM764" s="84"/>
      <c r="AN764" s="84"/>
      <c r="AO764" s="84"/>
      <c r="AP764" s="84"/>
      <c r="AQ764" s="84"/>
      <c r="AR764" s="84"/>
      <c r="AS764" s="84"/>
      <c r="AT764" s="84"/>
      <c r="AU764" s="84"/>
      <c r="AV764" s="84"/>
      <c r="AY764" s="84"/>
      <c r="AZ764" s="84"/>
      <c r="BA764" s="84"/>
      <c r="BB764" s="84"/>
      <c r="BC764" s="84"/>
      <c r="BD764" s="84"/>
      <c r="BE764" s="84"/>
      <c r="BF764" s="942"/>
      <c r="BG764" s="942"/>
      <c r="BH764" s="942"/>
      <c r="BI764" s="84"/>
      <c r="BL764" s="84"/>
      <c r="BM764" s="84"/>
      <c r="BN764" s="84"/>
      <c r="BO764" s="84"/>
      <c r="BP764" s="84"/>
      <c r="BQ764" s="84"/>
      <c r="BR764" s="84"/>
      <c r="BS764" s="942"/>
      <c r="BT764" s="942"/>
      <c r="BU764" s="942"/>
      <c r="BV764" s="84"/>
    </row>
    <row r="765" spans="14:74" ht="14.25">
      <c r="N765" s="84"/>
      <c r="O765" s="84"/>
      <c r="P765" s="84"/>
      <c r="Q765" s="84"/>
      <c r="R765" s="84"/>
      <c r="S765" s="84"/>
      <c r="T765" s="84"/>
      <c r="U765" s="84"/>
      <c r="V765" s="84"/>
      <c r="W765" s="84"/>
      <c r="Y765" s="84"/>
      <c r="Z765" s="84"/>
      <c r="AA765" s="84"/>
      <c r="AB765" s="84"/>
      <c r="AC765" s="84"/>
      <c r="AD765" s="84"/>
      <c r="AE765" s="84"/>
      <c r="AF765" s="84"/>
      <c r="AG765" s="84"/>
      <c r="AH765" s="84"/>
      <c r="AI765" s="84"/>
      <c r="AL765" s="84"/>
      <c r="AM765" s="84"/>
      <c r="AN765" s="84"/>
      <c r="AO765" s="84"/>
      <c r="AP765" s="84"/>
      <c r="AQ765" s="84"/>
      <c r="AR765" s="84"/>
      <c r="AS765" s="84"/>
      <c r="AT765" s="84"/>
      <c r="AU765" s="84"/>
      <c r="AV765" s="84"/>
      <c r="AY765" s="84"/>
      <c r="AZ765" s="84"/>
      <c r="BA765" s="84"/>
      <c r="BB765" s="84"/>
      <c r="BC765" s="84"/>
      <c r="BD765" s="84"/>
      <c r="BE765" s="84"/>
      <c r="BF765" s="942"/>
      <c r="BG765" s="942"/>
      <c r="BH765" s="942"/>
      <c r="BI765" s="84"/>
      <c r="BL765" s="84"/>
      <c r="BM765" s="84"/>
      <c r="BN765" s="84"/>
      <c r="BO765" s="84"/>
      <c r="BP765" s="84"/>
      <c r="BQ765" s="84"/>
      <c r="BR765" s="84"/>
      <c r="BS765" s="942"/>
      <c r="BT765" s="942"/>
      <c r="BU765" s="942"/>
      <c r="BV765" s="84"/>
    </row>
    <row r="766" spans="14:74" ht="14.25">
      <c r="N766" s="84"/>
      <c r="O766" s="84"/>
      <c r="P766" s="84"/>
      <c r="Q766" s="84"/>
      <c r="R766" s="84"/>
      <c r="S766" s="84"/>
      <c r="T766" s="84"/>
      <c r="U766" s="84"/>
      <c r="V766" s="84"/>
      <c r="W766" s="84"/>
      <c r="Y766" s="84"/>
      <c r="Z766" s="84"/>
      <c r="AA766" s="84"/>
      <c r="AB766" s="84"/>
      <c r="AC766" s="84"/>
      <c r="AD766" s="84"/>
      <c r="AE766" s="84"/>
      <c r="AF766" s="84"/>
      <c r="AG766" s="84"/>
      <c r="AH766" s="84"/>
      <c r="AI766" s="84"/>
      <c r="AL766" s="84"/>
      <c r="AM766" s="84"/>
      <c r="AN766" s="84"/>
      <c r="AO766" s="84"/>
      <c r="AP766" s="84"/>
      <c r="AQ766" s="84"/>
      <c r="AR766" s="84"/>
      <c r="AS766" s="84"/>
      <c r="AT766" s="84"/>
      <c r="AU766" s="84"/>
      <c r="AV766" s="84"/>
      <c r="AY766" s="84"/>
      <c r="AZ766" s="84"/>
      <c r="BA766" s="84"/>
      <c r="BB766" s="84"/>
      <c r="BC766" s="84"/>
      <c r="BD766" s="84"/>
      <c r="BE766" s="84"/>
      <c r="BF766" s="942"/>
      <c r="BG766" s="942"/>
      <c r="BH766" s="942"/>
      <c r="BI766" s="84"/>
      <c r="BL766" s="84"/>
      <c r="BM766" s="84"/>
      <c r="BN766" s="84"/>
      <c r="BO766" s="84"/>
      <c r="BP766" s="84"/>
      <c r="BQ766" s="84"/>
      <c r="BR766" s="84"/>
      <c r="BS766" s="942"/>
      <c r="BT766" s="942"/>
      <c r="BU766" s="942"/>
      <c r="BV766" s="84"/>
    </row>
    <row r="767" spans="14:74" ht="14.25">
      <c r="N767" s="84"/>
      <c r="O767" s="84"/>
      <c r="P767" s="84"/>
      <c r="Q767" s="84"/>
      <c r="R767" s="84"/>
      <c r="S767" s="84"/>
      <c r="T767" s="84"/>
      <c r="U767" s="84"/>
      <c r="V767" s="84"/>
      <c r="W767" s="84"/>
      <c r="Y767" s="84"/>
      <c r="Z767" s="84"/>
      <c r="AA767" s="84"/>
      <c r="AB767" s="84"/>
      <c r="AC767" s="84"/>
      <c r="AD767" s="84"/>
      <c r="AE767" s="84"/>
      <c r="AF767" s="84"/>
      <c r="AG767" s="84"/>
      <c r="AH767" s="84"/>
      <c r="AI767" s="84"/>
      <c r="AL767" s="84"/>
      <c r="AM767" s="84"/>
      <c r="AN767" s="84"/>
      <c r="AO767" s="84"/>
      <c r="AP767" s="84"/>
      <c r="AQ767" s="84"/>
      <c r="AR767" s="84"/>
      <c r="AS767" s="84"/>
      <c r="AT767" s="84"/>
      <c r="AU767" s="84"/>
      <c r="AV767" s="84"/>
      <c r="AY767" s="84"/>
      <c r="AZ767" s="84"/>
      <c r="BA767" s="84"/>
      <c r="BB767" s="84"/>
      <c r="BC767" s="84"/>
      <c r="BD767" s="84"/>
      <c r="BE767" s="84"/>
      <c r="BF767" s="942"/>
      <c r="BG767" s="942"/>
      <c r="BH767" s="942"/>
      <c r="BI767" s="84"/>
      <c r="BL767" s="84"/>
      <c r="BM767" s="84"/>
      <c r="BN767" s="84"/>
      <c r="BO767" s="84"/>
      <c r="BP767" s="84"/>
      <c r="BQ767" s="84"/>
      <c r="BR767" s="84"/>
      <c r="BS767" s="942"/>
      <c r="BT767" s="942"/>
      <c r="BU767" s="942"/>
      <c r="BV767" s="84"/>
    </row>
    <row r="768" spans="14:74" ht="14.25">
      <c r="N768" s="84"/>
      <c r="O768" s="84"/>
      <c r="P768" s="84"/>
      <c r="Q768" s="84"/>
      <c r="R768" s="84"/>
      <c r="S768" s="84"/>
      <c r="T768" s="84"/>
      <c r="U768" s="84"/>
      <c r="V768" s="84"/>
      <c r="W768" s="84"/>
      <c r="Y768" s="84"/>
      <c r="Z768" s="84"/>
      <c r="AA768" s="84"/>
      <c r="AB768" s="84"/>
      <c r="AC768" s="84"/>
      <c r="AD768" s="84"/>
      <c r="AE768" s="84"/>
      <c r="AF768" s="84"/>
      <c r="AG768" s="84"/>
      <c r="AH768" s="84"/>
      <c r="AI768" s="84"/>
      <c r="AL768" s="84"/>
      <c r="AM768" s="84"/>
      <c r="AN768" s="84"/>
      <c r="AO768" s="84"/>
      <c r="AP768" s="84"/>
      <c r="AQ768" s="84"/>
      <c r="AR768" s="84"/>
      <c r="AS768" s="84"/>
      <c r="AT768" s="84"/>
      <c r="AU768" s="84"/>
      <c r="AV768" s="84"/>
      <c r="AY768" s="84"/>
      <c r="AZ768" s="84"/>
      <c r="BA768" s="84"/>
      <c r="BB768" s="84"/>
      <c r="BC768" s="84"/>
      <c r="BD768" s="84"/>
      <c r="BE768" s="84"/>
      <c r="BF768" s="942"/>
      <c r="BG768" s="942"/>
      <c r="BH768" s="942"/>
      <c r="BI768" s="84"/>
      <c r="BL768" s="84"/>
      <c r="BM768" s="84"/>
      <c r="BN768" s="84"/>
      <c r="BO768" s="84"/>
      <c r="BP768" s="84"/>
      <c r="BQ768" s="84"/>
      <c r="BR768" s="84"/>
      <c r="BS768" s="942"/>
      <c r="BT768" s="942"/>
      <c r="BU768" s="942"/>
      <c r="BV768" s="84"/>
    </row>
    <row r="769" spans="14:74" ht="14.25">
      <c r="N769" s="84"/>
      <c r="O769" s="84"/>
      <c r="P769" s="84"/>
      <c r="Q769" s="84"/>
      <c r="R769" s="84"/>
      <c r="S769" s="84"/>
      <c r="T769" s="84"/>
      <c r="U769" s="84"/>
      <c r="V769" s="84"/>
      <c r="W769" s="84"/>
      <c r="Y769" s="84"/>
      <c r="Z769" s="84"/>
      <c r="AA769" s="84"/>
      <c r="AB769" s="84"/>
      <c r="AC769" s="84"/>
      <c r="AD769" s="84"/>
      <c r="AE769" s="84"/>
      <c r="AF769" s="84"/>
      <c r="AG769" s="84"/>
      <c r="AH769" s="84"/>
      <c r="AI769" s="84"/>
      <c r="AL769" s="84"/>
      <c r="AM769" s="84"/>
      <c r="AN769" s="84"/>
      <c r="AO769" s="84"/>
      <c r="AP769" s="84"/>
      <c r="AQ769" s="84"/>
      <c r="AR769" s="84"/>
      <c r="AS769" s="84"/>
      <c r="AT769" s="84"/>
      <c r="AU769" s="84"/>
      <c r="AV769" s="84"/>
      <c r="AY769" s="84"/>
      <c r="AZ769" s="84"/>
      <c r="BA769" s="84"/>
      <c r="BB769" s="84"/>
      <c r="BC769" s="84"/>
      <c r="BD769" s="84"/>
      <c r="BE769" s="84"/>
      <c r="BF769" s="942"/>
      <c r="BG769" s="942"/>
      <c r="BH769" s="942"/>
      <c r="BI769" s="84"/>
      <c r="BL769" s="84"/>
      <c r="BM769" s="84"/>
      <c r="BN769" s="84"/>
      <c r="BO769" s="84"/>
      <c r="BP769" s="84"/>
      <c r="BQ769" s="84"/>
      <c r="BR769" s="84"/>
      <c r="BS769" s="942"/>
      <c r="BT769" s="942"/>
      <c r="BU769" s="942"/>
      <c r="BV769" s="84"/>
    </row>
    <row r="770" spans="14:74" ht="14.25">
      <c r="N770" s="84"/>
      <c r="O770" s="84"/>
      <c r="P770" s="84"/>
      <c r="Q770" s="84"/>
      <c r="R770" s="84"/>
      <c r="S770" s="84"/>
      <c r="T770" s="84"/>
      <c r="U770" s="84"/>
      <c r="V770" s="84"/>
      <c r="W770" s="84"/>
      <c r="Y770" s="84"/>
      <c r="Z770" s="84"/>
      <c r="AA770" s="84"/>
      <c r="AB770" s="84"/>
      <c r="AC770" s="84"/>
      <c r="AD770" s="84"/>
      <c r="AE770" s="84"/>
      <c r="AF770" s="84"/>
      <c r="AG770" s="84"/>
      <c r="AH770" s="84"/>
      <c r="AI770" s="84"/>
      <c r="AL770" s="84"/>
      <c r="AM770" s="84"/>
      <c r="AN770" s="84"/>
      <c r="AO770" s="84"/>
      <c r="AP770" s="84"/>
      <c r="AQ770" s="84"/>
      <c r="AR770" s="84"/>
      <c r="AS770" s="84"/>
      <c r="AT770" s="84"/>
      <c r="AU770" s="84"/>
      <c r="AV770" s="84"/>
      <c r="AY770" s="84"/>
      <c r="AZ770" s="84"/>
      <c r="BA770" s="84"/>
      <c r="BB770" s="84"/>
      <c r="BC770" s="84"/>
      <c r="BD770" s="84"/>
      <c r="BE770" s="84"/>
      <c r="BF770" s="942"/>
      <c r="BG770" s="942"/>
      <c r="BH770" s="942"/>
      <c r="BI770" s="84"/>
      <c r="BL770" s="84"/>
      <c r="BM770" s="84"/>
      <c r="BN770" s="84"/>
      <c r="BO770" s="84"/>
      <c r="BP770" s="84"/>
      <c r="BQ770" s="84"/>
      <c r="BR770" s="84"/>
      <c r="BS770" s="942"/>
      <c r="BT770" s="942"/>
      <c r="BU770" s="942"/>
      <c r="BV770" s="84"/>
    </row>
    <row r="771" spans="14:74" ht="14.25">
      <c r="N771" s="84"/>
      <c r="O771" s="84"/>
      <c r="P771" s="84"/>
      <c r="Q771" s="84"/>
      <c r="R771" s="84"/>
      <c r="S771" s="84"/>
      <c r="T771" s="84"/>
      <c r="U771" s="84"/>
      <c r="V771" s="84"/>
      <c r="W771" s="84"/>
      <c r="Y771" s="84"/>
      <c r="Z771" s="84"/>
      <c r="AA771" s="84"/>
      <c r="AB771" s="84"/>
      <c r="AC771" s="84"/>
      <c r="AD771" s="84"/>
      <c r="AE771" s="84"/>
      <c r="AF771" s="84"/>
      <c r="AG771" s="84"/>
      <c r="AH771" s="84"/>
      <c r="AI771" s="84"/>
      <c r="AL771" s="84"/>
      <c r="AM771" s="84"/>
      <c r="AN771" s="84"/>
      <c r="AO771" s="84"/>
      <c r="AP771" s="84"/>
      <c r="AQ771" s="84"/>
      <c r="AR771" s="84"/>
      <c r="AS771" s="84"/>
      <c r="AT771" s="84"/>
      <c r="AU771" s="84"/>
      <c r="AV771" s="84"/>
      <c r="AY771" s="84"/>
      <c r="AZ771" s="84"/>
      <c r="BA771" s="84"/>
      <c r="BB771" s="84"/>
      <c r="BC771" s="84"/>
      <c r="BD771" s="84"/>
      <c r="BE771" s="84"/>
      <c r="BF771" s="942"/>
      <c r="BG771" s="942"/>
      <c r="BH771" s="942"/>
      <c r="BI771" s="84"/>
      <c r="BL771" s="84"/>
      <c r="BM771" s="84"/>
      <c r="BN771" s="84"/>
      <c r="BO771" s="84"/>
      <c r="BP771" s="84"/>
      <c r="BQ771" s="84"/>
      <c r="BR771" s="84"/>
      <c r="BS771" s="942"/>
      <c r="BT771" s="942"/>
      <c r="BU771" s="942"/>
      <c r="BV771" s="84"/>
    </row>
    <row r="772" spans="14:74" ht="14.25">
      <c r="N772" s="84"/>
      <c r="O772" s="84"/>
      <c r="P772" s="84"/>
      <c r="Q772" s="84"/>
      <c r="R772" s="84"/>
      <c r="S772" s="84"/>
      <c r="T772" s="84"/>
      <c r="U772" s="84"/>
      <c r="V772" s="84"/>
      <c r="W772" s="84"/>
      <c r="Y772" s="84"/>
      <c r="Z772" s="84"/>
      <c r="AA772" s="84"/>
      <c r="AB772" s="84"/>
      <c r="AC772" s="84"/>
      <c r="AD772" s="84"/>
      <c r="AE772" s="84"/>
      <c r="AF772" s="84"/>
      <c r="AG772" s="84"/>
      <c r="AH772" s="84"/>
      <c r="AI772" s="84"/>
      <c r="AL772" s="84"/>
      <c r="AM772" s="84"/>
      <c r="AN772" s="84"/>
      <c r="AO772" s="84"/>
      <c r="AP772" s="84"/>
      <c r="AQ772" s="84"/>
      <c r="AR772" s="84"/>
      <c r="AS772" s="84"/>
      <c r="AT772" s="84"/>
      <c r="AU772" s="84"/>
      <c r="AV772" s="84"/>
      <c r="AY772" s="84"/>
      <c r="AZ772" s="84"/>
      <c r="BA772" s="84"/>
      <c r="BB772" s="84"/>
      <c r="BC772" s="84"/>
      <c r="BD772" s="84"/>
      <c r="BE772" s="84"/>
      <c r="BF772" s="942"/>
      <c r="BG772" s="942"/>
      <c r="BH772" s="942"/>
      <c r="BI772" s="84"/>
      <c r="BL772" s="84"/>
      <c r="BM772" s="84"/>
      <c r="BN772" s="84"/>
      <c r="BO772" s="84"/>
      <c r="BP772" s="84"/>
      <c r="BQ772" s="84"/>
      <c r="BR772" s="84"/>
      <c r="BS772" s="942"/>
      <c r="BT772" s="942"/>
      <c r="BU772" s="942"/>
      <c r="BV772" s="84"/>
    </row>
    <row r="773" spans="14:74" ht="14.25">
      <c r="N773" s="84"/>
      <c r="O773" s="84"/>
      <c r="P773" s="84"/>
      <c r="Q773" s="84"/>
      <c r="R773" s="84"/>
      <c r="S773" s="84"/>
      <c r="T773" s="84"/>
      <c r="U773" s="84"/>
      <c r="V773" s="84"/>
      <c r="W773" s="84"/>
      <c r="Y773" s="84"/>
      <c r="Z773" s="84"/>
      <c r="AA773" s="84"/>
      <c r="AB773" s="84"/>
      <c r="AC773" s="84"/>
      <c r="AD773" s="84"/>
      <c r="AE773" s="84"/>
      <c r="AF773" s="84"/>
      <c r="AG773" s="84"/>
      <c r="AH773" s="84"/>
      <c r="AI773" s="84"/>
      <c r="AL773" s="84"/>
      <c r="AM773" s="84"/>
      <c r="AN773" s="84"/>
      <c r="AO773" s="84"/>
      <c r="AP773" s="84"/>
      <c r="AQ773" s="84"/>
      <c r="AR773" s="84"/>
      <c r="AS773" s="84"/>
      <c r="AT773" s="84"/>
      <c r="AU773" s="84"/>
      <c r="AV773" s="84"/>
      <c r="AY773" s="84"/>
      <c r="AZ773" s="84"/>
      <c r="BA773" s="84"/>
      <c r="BB773" s="84"/>
      <c r="BC773" s="84"/>
      <c r="BD773" s="84"/>
      <c r="BE773" s="84"/>
      <c r="BF773" s="942"/>
      <c r="BG773" s="942"/>
      <c r="BH773" s="942"/>
      <c r="BI773" s="84"/>
      <c r="BL773" s="84"/>
      <c r="BM773" s="84"/>
      <c r="BN773" s="84"/>
      <c r="BO773" s="84"/>
      <c r="BP773" s="84"/>
      <c r="BQ773" s="84"/>
      <c r="BR773" s="84"/>
      <c r="BS773" s="942"/>
      <c r="BT773" s="942"/>
      <c r="BU773" s="942"/>
      <c r="BV773" s="84"/>
    </row>
    <row r="774" spans="14:74" ht="14.25">
      <c r="N774" s="84"/>
      <c r="O774" s="84"/>
      <c r="P774" s="84"/>
      <c r="Q774" s="84"/>
      <c r="R774" s="84"/>
      <c r="S774" s="84"/>
      <c r="T774" s="84"/>
      <c r="U774" s="84"/>
      <c r="V774" s="84"/>
      <c r="W774" s="84"/>
      <c r="Y774" s="84"/>
      <c r="Z774" s="84"/>
      <c r="AA774" s="84"/>
      <c r="AB774" s="84"/>
      <c r="AC774" s="84"/>
      <c r="AD774" s="84"/>
      <c r="AE774" s="84"/>
      <c r="AF774" s="84"/>
      <c r="AG774" s="84"/>
      <c r="AH774" s="84"/>
      <c r="AI774" s="84"/>
      <c r="AL774" s="84"/>
      <c r="AM774" s="84"/>
      <c r="AN774" s="84"/>
      <c r="AO774" s="84"/>
      <c r="AP774" s="84"/>
      <c r="AQ774" s="84"/>
      <c r="AR774" s="84"/>
      <c r="AS774" s="84"/>
      <c r="AT774" s="84"/>
      <c r="AU774" s="84"/>
      <c r="AV774" s="84"/>
      <c r="AY774" s="84"/>
      <c r="AZ774" s="84"/>
      <c r="BA774" s="84"/>
      <c r="BB774" s="84"/>
      <c r="BC774" s="84"/>
      <c r="BD774" s="84"/>
      <c r="BE774" s="84"/>
      <c r="BF774" s="942"/>
      <c r="BG774" s="942"/>
      <c r="BH774" s="942"/>
      <c r="BI774" s="84"/>
      <c r="BL774" s="84"/>
      <c r="BM774" s="84"/>
      <c r="BN774" s="84"/>
      <c r="BO774" s="84"/>
      <c r="BP774" s="84"/>
      <c r="BQ774" s="84"/>
      <c r="BR774" s="84"/>
      <c r="BS774" s="942"/>
      <c r="BT774" s="942"/>
      <c r="BU774" s="942"/>
      <c r="BV774" s="84"/>
    </row>
    <row r="775" spans="14:74" ht="14.25">
      <c r="N775" s="84"/>
      <c r="O775" s="84"/>
      <c r="P775" s="84"/>
      <c r="Q775" s="84"/>
      <c r="R775" s="84"/>
      <c r="S775" s="84"/>
      <c r="T775" s="84"/>
      <c r="U775" s="84"/>
      <c r="V775" s="84"/>
      <c r="W775" s="84"/>
      <c r="Y775" s="84"/>
      <c r="Z775" s="84"/>
      <c r="AA775" s="84"/>
      <c r="AB775" s="84"/>
      <c r="AC775" s="84"/>
      <c r="AD775" s="84"/>
      <c r="AE775" s="84"/>
      <c r="AF775" s="84"/>
      <c r="AG775" s="84"/>
      <c r="AH775" s="84"/>
      <c r="AI775" s="84"/>
      <c r="AL775" s="84"/>
      <c r="AM775" s="84"/>
      <c r="AN775" s="84"/>
      <c r="AO775" s="84"/>
      <c r="AP775" s="84"/>
      <c r="AQ775" s="84"/>
      <c r="AR775" s="84"/>
      <c r="AS775" s="84"/>
      <c r="AT775" s="84"/>
      <c r="AU775" s="84"/>
      <c r="AV775" s="84"/>
      <c r="AY775" s="84"/>
      <c r="AZ775" s="84"/>
      <c r="BA775" s="84"/>
      <c r="BB775" s="84"/>
      <c r="BC775" s="84"/>
      <c r="BD775" s="84"/>
      <c r="BE775" s="84"/>
      <c r="BF775" s="942"/>
      <c r="BG775" s="942"/>
      <c r="BH775" s="942"/>
      <c r="BI775" s="84"/>
      <c r="BL775" s="84"/>
      <c r="BM775" s="84"/>
      <c r="BN775" s="84"/>
      <c r="BO775" s="84"/>
      <c r="BP775" s="84"/>
      <c r="BQ775" s="84"/>
      <c r="BR775" s="84"/>
      <c r="BS775" s="942"/>
      <c r="BT775" s="942"/>
      <c r="BU775" s="942"/>
      <c r="BV775" s="84"/>
    </row>
    <row r="776" spans="14:74" ht="14.25">
      <c r="N776" s="84"/>
      <c r="O776" s="84"/>
      <c r="P776" s="84"/>
      <c r="Q776" s="84"/>
      <c r="R776" s="84"/>
      <c r="S776" s="84"/>
      <c r="T776" s="84"/>
      <c r="U776" s="84"/>
      <c r="V776" s="84"/>
      <c r="W776" s="84"/>
      <c r="Y776" s="84"/>
      <c r="Z776" s="84"/>
      <c r="AA776" s="84"/>
      <c r="AB776" s="84"/>
      <c r="AC776" s="84"/>
      <c r="AD776" s="84"/>
      <c r="AE776" s="84"/>
      <c r="AF776" s="84"/>
      <c r="AG776" s="84"/>
      <c r="AH776" s="84"/>
      <c r="AI776" s="84"/>
      <c r="AL776" s="84"/>
      <c r="AM776" s="84"/>
      <c r="AN776" s="84"/>
      <c r="AO776" s="84"/>
      <c r="AP776" s="84"/>
      <c r="AQ776" s="84"/>
      <c r="AR776" s="84"/>
      <c r="AS776" s="84"/>
      <c r="AT776" s="84"/>
      <c r="AU776" s="84"/>
      <c r="AV776" s="84"/>
      <c r="AY776" s="84"/>
      <c r="AZ776" s="84"/>
      <c r="BA776" s="84"/>
      <c r="BB776" s="84"/>
      <c r="BC776" s="84"/>
      <c r="BD776" s="84"/>
      <c r="BE776" s="84"/>
      <c r="BF776" s="942"/>
      <c r="BG776" s="942"/>
      <c r="BH776" s="942"/>
      <c r="BI776" s="84"/>
      <c r="BL776" s="84"/>
      <c r="BM776" s="84"/>
      <c r="BN776" s="84"/>
      <c r="BO776" s="84"/>
      <c r="BP776" s="84"/>
      <c r="BQ776" s="84"/>
      <c r="BR776" s="84"/>
      <c r="BS776" s="942"/>
      <c r="BT776" s="942"/>
      <c r="BU776" s="942"/>
      <c r="BV776" s="84"/>
    </row>
    <row r="777" spans="14:74" ht="14.25">
      <c r="N777" s="84"/>
      <c r="O777" s="84"/>
      <c r="P777" s="84"/>
      <c r="Q777" s="84"/>
      <c r="R777" s="84"/>
      <c r="S777" s="84"/>
      <c r="T777" s="84"/>
      <c r="U777" s="84"/>
      <c r="V777" s="84"/>
      <c r="W777" s="84"/>
      <c r="Y777" s="84"/>
      <c r="Z777" s="84"/>
      <c r="AA777" s="84"/>
      <c r="AB777" s="84"/>
      <c r="AC777" s="84"/>
      <c r="AD777" s="84"/>
      <c r="AE777" s="84"/>
      <c r="AF777" s="84"/>
      <c r="AG777" s="84"/>
      <c r="AH777" s="84"/>
      <c r="AI777" s="84"/>
      <c r="AL777" s="84"/>
      <c r="AM777" s="84"/>
      <c r="AN777" s="84"/>
      <c r="AO777" s="84"/>
      <c r="AP777" s="84"/>
      <c r="AQ777" s="84"/>
      <c r="AR777" s="84"/>
      <c r="AS777" s="84"/>
      <c r="AT777" s="84"/>
      <c r="AU777" s="84"/>
      <c r="AV777" s="84"/>
      <c r="AY777" s="84"/>
      <c r="AZ777" s="84"/>
      <c r="BA777" s="84"/>
      <c r="BB777" s="84"/>
      <c r="BC777" s="84"/>
      <c r="BD777" s="84"/>
      <c r="BE777" s="84"/>
      <c r="BF777" s="942"/>
      <c r="BG777" s="942"/>
      <c r="BH777" s="942"/>
      <c r="BI777" s="84"/>
      <c r="BL777" s="84"/>
      <c r="BM777" s="84"/>
      <c r="BN777" s="84"/>
      <c r="BO777" s="84"/>
      <c r="BP777" s="84"/>
      <c r="BQ777" s="84"/>
      <c r="BR777" s="84"/>
      <c r="BS777" s="942"/>
      <c r="BT777" s="942"/>
      <c r="BU777" s="942"/>
      <c r="BV777" s="84"/>
    </row>
    <row r="778" spans="14:74" ht="14.25">
      <c r="N778" s="84"/>
      <c r="O778" s="84"/>
      <c r="P778" s="84"/>
      <c r="Q778" s="84"/>
      <c r="R778" s="84"/>
      <c r="S778" s="84"/>
      <c r="T778" s="84"/>
      <c r="U778" s="84"/>
      <c r="V778" s="84"/>
      <c r="W778" s="84"/>
      <c r="Y778" s="84"/>
      <c r="Z778" s="84"/>
      <c r="AA778" s="84"/>
      <c r="AB778" s="84"/>
      <c r="AC778" s="84"/>
      <c r="AD778" s="84"/>
      <c r="AE778" s="84"/>
      <c r="AF778" s="84"/>
      <c r="AG778" s="84"/>
      <c r="AH778" s="84"/>
      <c r="AI778" s="84"/>
      <c r="AL778" s="84"/>
      <c r="AM778" s="84"/>
      <c r="AN778" s="84"/>
      <c r="AO778" s="84"/>
      <c r="AP778" s="84"/>
      <c r="AQ778" s="84"/>
      <c r="AR778" s="84"/>
      <c r="AS778" s="84"/>
      <c r="AT778" s="84"/>
      <c r="AU778" s="84"/>
      <c r="AV778" s="84"/>
      <c r="AY778" s="84"/>
      <c r="AZ778" s="84"/>
      <c r="BA778" s="84"/>
      <c r="BB778" s="84"/>
      <c r="BC778" s="84"/>
      <c r="BD778" s="84"/>
      <c r="BE778" s="84"/>
      <c r="BF778" s="942"/>
      <c r="BG778" s="942"/>
      <c r="BH778" s="942"/>
      <c r="BI778" s="84"/>
      <c r="BL778" s="84"/>
      <c r="BM778" s="84"/>
      <c r="BN778" s="84"/>
      <c r="BO778" s="84"/>
      <c r="BP778" s="84"/>
      <c r="BQ778" s="84"/>
      <c r="BR778" s="84"/>
      <c r="BS778" s="942"/>
      <c r="BT778" s="942"/>
      <c r="BU778" s="942"/>
      <c r="BV778" s="84"/>
    </row>
    <row r="779" spans="14:74" ht="14.25">
      <c r="N779" s="84"/>
      <c r="O779" s="84"/>
      <c r="P779" s="84"/>
      <c r="Q779" s="84"/>
      <c r="R779" s="84"/>
      <c r="S779" s="84"/>
      <c r="T779" s="84"/>
      <c r="U779" s="84"/>
      <c r="V779" s="84"/>
      <c r="W779" s="84"/>
      <c r="Y779" s="84"/>
      <c r="Z779" s="84"/>
      <c r="AA779" s="84"/>
      <c r="AB779" s="84"/>
      <c r="AC779" s="84"/>
      <c r="AD779" s="84"/>
      <c r="AE779" s="84"/>
      <c r="AF779" s="84"/>
      <c r="AG779" s="84"/>
      <c r="AH779" s="84"/>
      <c r="AI779" s="84"/>
      <c r="AL779" s="84"/>
      <c r="AM779" s="84"/>
      <c r="AN779" s="84"/>
      <c r="AO779" s="84"/>
      <c r="AP779" s="84"/>
      <c r="AQ779" s="84"/>
      <c r="AR779" s="84"/>
      <c r="AS779" s="84"/>
      <c r="AT779" s="84"/>
      <c r="AU779" s="84"/>
      <c r="AV779" s="84"/>
      <c r="AY779" s="84"/>
      <c r="AZ779" s="84"/>
      <c r="BA779" s="84"/>
      <c r="BB779" s="84"/>
      <c r="BC779" s="84"/>
      <c r="BD779" s="84"/>
      <c r="BE779" s="84"/>
      <c r="BF779" s="942"/>
      <c r="BG779" s="942"/>
      <c r="BH779" s="942"/>
      <c r="BI779" s="84"/>
      <c r="BL779" s="84"/>
      <c r="BM779" s="84"/>
      <c r="BN779" s="84"/>
      <c r="BO779" s="84"/>
      <c r="BP779" s="84"/>
      <c r="BQ779" s="84"/>
      <c r="BR779" s="84"/>
      <c r="BS779" s="942"/>
      <c r="BT779" s="942"/>
      <c r="BU779" s="942"/>
      <c r="BV779" s="84"/>
    </row>
    <row r="780" spans="14:74" ht="14.25">
      <c r="N780" s="84"/>
      <c r="O780" s="84"/>
      <c r="P780" s="84"/>
      <c r="Q780" s="84"/>
      <c r="R780" s="84"/>
      <c r="S780" s="84"/>
      <c r="T780" s="84"/>
      <c r="U780" s="84"/>
      <c r="V780" s="84"/>
      <c r="W780" s="84"/>
      <c r="Y780" s="84"/>
      <c r="Z780" s="84"/>
      <c r="AA780" s="84"/>
      <c r="AB780" s="84"/>
      <c r="AC780" s="84"/>
      <c r="AD780" s="84"/>
      <c r="AE780" s="84"/>
      <c r="AF780" s="84"/>
      <c r="AG780" s="84"/>
      <c r="AH780" s="84"/>
      <c r="AI780" s="84"/>
      <c r="AL780" s="84"/>
      <c r="AM780" s="84"/>
      <c r="AN780" s="84"/>
      <c r="AO780" s="84"/>
      <c r="AP780" s="84"/>
      <c r="AQ780" s="84"/>
      <c r="AR780" s="84"/>
      <c r="AS780" s="84"/>
      <c r="AT780" s="84"/>
      <c r="AU780" s="84"/>
      <c r="AV780" s="84"/>
      <c r="AY780" s="84"/>
      <c r="AZ780" s="84"/>
      <c r="BA780" s="84"/>
      <c r="BB780" s="84"/>
      <c r="BC780" s="84"/>
      <c r="BD780" s="84"/>
      <c r="BE780" s="84"/>
      <c r="BF780" s="942"/>
      <c r="BG780" s="942"/>
      <c r="BH780" s="942"/>
      <c r="BI780" s="84"/>
      <c r="BL780" s="84"/>
      <c r="BM780" s="84"/>
      <c r="BN780" s="84"/>
      <c r="BO780" s="84"/>
      <c r="BP780" s="84"/>
      <c r="BQ780" s="84"/>
      <c r="BR780" s="84"/>
      <c r="BS780" s="942"/>
      <c r="BT780" s="942"/>
      <c r="BU780" s="942"/>
      <c r="BV780" s="84"/>
    </row>
    <row r="781" spans="14:74" ht="14.25">
      <c r="N781" s="84"/>
      <c r="O781" s="84"/>
      <c r="P781" s="84"/>
      <c r="Q781" s="84"/>
      <c r="R781" s="84"/>
      <c r="S781" s="84"/>
      <c r="T781" s="84"/>
      <c r="U781" s="84"/>
      <c r="V781" s="84"/>
      <c r="W781" s="84"/>
      <c r="Y781" s="84"/>
      <c r="Z781" s="84"/>
      <c r="AA781" s="84"/>
      <c r="AB781" s="84"/>
      <c r="AC781" s="84"/>
      <c r="AD781" s="84"/>
      <c r="AE781" s="84"/>
      <c r="AF781" s="84"/>
      <c r="AG781" s="84"/>
      <c r="AH781" s="84"/>
      <c r="AI781" s="84"/>
      <c r="AL781" s="84"/>
      <c r="AM781" s="84"/>
      <c r="AN781" s="84"/>
      <c r="AO781" s="84"/>
      <c r="AP781" s="84"/>
      <c r="AQ781" s="84"/>
      <c r="AR781" s="84"/>
      <c r="AS781" s="84"/>
      <c r="AT781" s="84"/>
      <c r="AU781" s="84"/>
      <c r="AV781" s="84"/>
      <c r="AY781" s="84"/>
      <c r="AZ781" s="84"/>
      <c r="BA781" s="84"/>
      <c r="BB781" s="84"/>
      <c r="BC781" s="84"/>
      <c r="BD781" s="84"/>
      <c r="BE781" s="84"/>
      <c r="BF781" s="942"/>
      <c r="BG781" s="942"/>
      <c r="BH781" s="942"/>
      <c r="BI781" s="84"/>
      <c r="BL781" s="84"/>
      <c r="BM781" s="84"/>
      <c r="BN781" s="84"/>
      <c r="BO781" s="84"/>
      <c r="BP781" s="84"/>
      <c r="BQ781" s="84"/>
      <c r="BR781" s="84"/>
      <c r="BS781" s="942"/>
      <c r="BT781" s="942"/>
      <c r="BU781" s="942"/>
      <c r="BV781" s="84"/>
    </row>
    <row r="782" spans="14:74" ht="14.25">
      <c r="N782" s="84"/>
      <c r="O782" s="84"/>
      <c r="P782" s="84"/>
      <c r="Q782" s="84"/>
      <c r="R782" s="84"/>
      <c r="S782" s="84"/>
      <c r="T782" s="84"/>
      <c r="U782" s="84"/>
      <c r="V782" s="84"/>
      <c r="W782" s="84"/>
      <c r="Y782" s="84"/>
      <c r="Z782" s="84"/>
      <c r="AA782" s="84"/>
      <c r="AB782" s="84"/>
      <c r="AC782" s="84"/>
      <c r="AD782" s="84"/>
      <c r="AE782" s="84"/>
      <c r="AF782" s="84"/>
      <c r="AG782" s="84"/>
      <c r="AH782" s="84"/>
      <c r="AI782" s="84"/>
      <c r="AL782" s="84"/>
      <c r="AM782" s="84"/>
      <c r="AN782" s="84"/>
      <c r="AO782" s="84"/>
      <c r="AP782" s="84"/>
      <c r="AQ782" s="84"/>
      <c r="AR782" s="84"/>
      <c r="AS782" s="84"/>
      <c r="AT782" s="84"/>
      <c r="AU782" s="84"/>
      <c r="AV782" s="84"/>
      <c r="AY782" s="84"/>
      <c r="AZ782" s="84"/>
      <c r="BA782" s="84"/>
      <c r="BB782" s="84"/>
      <c r="BC782" s="84"/>
      <c r="BD782" s="84"/>
      <c r="BE782" s="84"/>
      <c r="BF782" s="942"/>
      <c r="BG782" s="942"/>
      <c r="BH782" s="942"/>
      <c r="BI782" s="84"/>
      <c r="BL782" s="84"/>
      <c r="BM782" s="84"/>
      <c r="BN782" s="84"/>
      <c r="BO782" s="84"/>
      <c r="BP782" s="84"/>
      <c r="BQ782" s="84"/>
      <c r="BR782" s="84"/>
      <c r="BS782" s="942"/>
      <c r="BT782" s="942"/>
      <c r="BU782" s="942"/>
      <c r="BV782" s="84"/>
    </row>
    <row r="783" spans="14:74" ht="14.25">
      <c r="N783" s="84"/>
      <c r="O783" s="84"/>
      <c r="P783" s="84"/>
      <c r="Q783" s="84"/>
      <c r="R783" s="84"/>
      <c r="S783" s="84"/>
      <c r="T783" s="84"/>
      <c r="U783" s="84"/>
      <c r="V783" s="84"/>
      <c r="W783" s="84"/>
      <c r="Y783" s="84"/>
      <c r="Z783" s="84"/>
      <c r="AA783" s="84"/>
      <c r="AB783" s="84"/>
      <c r="AC783" s="84"/>
      <c r="AD783" s="84"/>
      <c r="AE783" s="84"/>
      <c r="AF783" s="84"/>
      <c r="AG783" s="84"/>
      <c r="AH783" s="84"/>
      <c r="AI783" s="84"/>
      <c r="AL783" s="84"/>
      <c r="AM783" s="84"/>
      <c r="AN783" s="84"/>
      <c r="AO783" s="84"/>
      <c r="AP783" s="84"/>
      <c r="AQ783" s="84"/>
      <c r="AR783" s="84"/>
      <c r="AS783" s="84"/>
      <c r="AT783" s="84"/>
      <c r="AU783" s="84"/>
      <c r="AV783" s="84"/>
      <c r="AY783" s="84"/>
      <c r="AZ783" s="84"/>
      <c r="BA783" s="84"/>
      <c r="BB783" s="84"/>
      <c r="BC783" s="84"/>
      <c r="BD783" s="84"/>
      <c r="BE783" s="84"/>
      <c r="BF783" s="942"/>
      <c r="BG783" s="942"/>
      <c r="BH783" s="942"/>
      <c r="BI783" s="84"/>
      <c r="BL783" s="84"/>
      <c r="BM783" s="84"/>
      <c r="BN783" s="84"/>
      <c r="BO783" s="84"/>
      <c r="BP783" s="84"/>
      <c r="BQ783" s="84"/>
      <c r="BR783" s="84"/>
      <c r="BS783" s="942"/>
      <c r="BT783" s="942"/>
      <c r="BU783" s="942"/>
      <c r="BV783" s="84"/>
    </row>
    <row r="784" spans="14:74" ht="14.25">
      <c r="N784" s="84"/>
      <c r="O784" s="84"/>
      <c r="P784" s="84"/>
      <c r="Q784" s="84"/>
      <c r="R784" s="84"/>
      <c r="S784" s="84"/>
      <c r="T784" s="84"/>
      <c r="U784" s="84"/>
      <c r="V784" s="84"/>
      <c r="W784" s="84"/>
      <c r="Y784" s="84"/>
      <c r="Z784" s="84"/>
      <c r="AA784" s="84"/>
      <c r="AB784" s="84"/>
      <c r="AC784" s="84"/>
      <c r="AD784" s="84"/>
      <c r="AE784" s="84"/>
      <c r="AF784" s="84"/>
      <c r="AG784" s="84"/>
      <c r="AH784" s="84"/>
      <c r="AI784" s="84"/>
      <c r="AL784" s="84"/>
      <c r="AM784" s="84"/>
      <c r="AN784" s="84"/>
      <c r="AO784" s="84"/>
      <c r="AP784" s="84"/>
      <c r="AQ784" s="84"/>
      <c r="AR784" s="84"/>
      <c r="AS784" s="84"/>
      <c r="AT784" s="84"/>
      <c r="AU784" s="84"/>
      <c r="AV784" s="84"/>
      <c r="AY784" s="84"/>
      <c r="AZ784" s="84"/>
      <c r="BA784" s="84"/>
      <c r="BB784" s="84"/>
      <c r="BC784" s="84"/>
      <c r="BD784" s="84"/>
      <c r="BE784" s="84"/>
      <c r="BF784" s="942"/>
      <c r="BG784" s="942"/>
      <c r="BH784" s="942"/>
      <c r="BI784" s="84"/>
      <c r="BL784" s="84"/>
      <c r="BM784" s="84"/>
      <c r="BN784" s="84"/>
      <c r="BO784" s="84"/>
      <c r="BP784" s="84"/>
      <c r="BQ784" s="84"/>
      <c r="BR784" s="84"/>
      <c r="BS784" s="942"/>
      <c r="BT784" s="942"/>
      <c r="BU784" s="942"/>
      <c r="BV784" s="84"/>
    </row>
    <row r="785" spans="14:74" ht="14.25">
      <c r="N785" s="84"/>
      <c r="O785" s="84"/>
      <c r="P785" s="84"/>
      <c r="Q785" s="84"/>
      <c r="R785" s="84"/>
      <c r="S785" s="84"/>
      <c r="T785" s="84"/>
      <c r="U785" s="84"/>
      <c r="V785" s="84"/>
      <c r="W785" s="84"/>
      <c r="Y785" s="84"/>
      <c r="Z785" s="84"/>
      <c r="AA785" s="84"/>
      <c r="AB785" s="84"/>
      <c r="AC785" s="84"/>
      <c r="AD785" s="84"/>
      <c r="AE785" s="84"/>
      <c r="AF785" s="84"/>
      <c r="AG785" s="84"/>
      <c r="AH785" s="84"/>
      <c r="AI785" s="84"/>
      <c r="AL785" s="84"/>
      <c r="AM785" s="84"/>
      <c r="AN785" s="84"/>
      <c r="AO785" s="84"/>
      <c r="AP785" s="84"/>
      <c r="AQ785" s="84"/>
      <c r="AR785" s="84"/>
      <c r="AS785" s="84"/>
      <c r="AT785" s="84"/>
      <c r="AU785" s="84"/>
      <c r="AV785" s="84"/>
      <c r="AY785" s="84"/>
      <c r="AZ785" s="84"/>
      <c r="BA785" s="84"/>
      <c r="BB785" s="84"/>
      <c r="BC785" s="84"/>
      <c r="BD785" s="84"/>
      <c r="BE785" s="84"/>
      <c r="BF785" s="942"/>
      <c r="BG785" s="942"/>
      <c r="BH785" s="942"/>
      <c r="BI785" s="84"/>
      <c r="BL785" s="84"/>
      <c r="BM785" s="84"/>
      <c r="BN785" s="84"/>
      <c r="BO785" s="84"/>
      <c r="BP785" s="84"/>
      <c r="BQ785" s="84"/>
      <c r="BR785" s="84"/>
      <c r="BS785" s="942"/>
      <c r="BT785" s="942"/>
      <c r="BU785" s="942"/>
      <c r="BV785" s="84"/>
    </row>
    <row r="786" spans="14:74" ht="14.25">
      <c r="N786" s="84"/>
      <c r="O786" s="84"/>
      <c r="P786" s="84"/>
      <c r="Q786" s="84"/>
      <c r="R786" s="84"/>
      <c r="S786" s="84"/>
      <c r="T786" s="84"/>
      <c r="U786" s="84"/>
      <c r="V786" s="84"/>
      <c r="W786" s="84"/>
      <c r="Y786" s="84"/>
      <c r="Z786" s="84"/>
      <c r="AA786" s="84"/>
      <c r="AB786" s="84"/>
      <c r="AC786" s="84"/>
      <c r="AD786" s="84"/>
      <c r="AE786" s="84"/>
      <c r="AF786" s="84"/>
      <c r="AG786" s="84"/>
      <c r="AH786" s="84"/>
      <c r="AI786" s="84"/>
      <c r="AL786" s="84"/>
      <c r="AM786" s="84"/>
      <c r="AN786" s="84"/>
      <c r="AO786" s="84"/>
      <c r="AP786" s="84"/>
      <c r="AQ786" s="84"/>
      <c r="AR786" s="84"/>
      <c r="AS786" s="84"/>
      <c r="AT786" s="84"/>
      <c r="AU786" s="84"/>
      <c r="AV786" s="84"/>
      <c r="AY786" s="84"/>
      <c r="AZ786" s="84"/>
      <c r="BA786" s="84"/>
      <c r="BB786" s="84"/>
      <c r="BC786" s="84"/>
      <c r="BD786" s="84"/>
      <c r="BE786" s="84"/>
      <c r="BF786" s="942"/>
      <c r="BG786" s="942"/>
      <c r="BH786" s="942"/>
      <c r="BI786" s="84"/>
      <c r="BL786" s="84"/>
      <c r="BM786" s="84"/>
      <c r="BN786" s="84"/>
      <c r="BO786" s="84"/>
      <c r="BP786" s="84"/>
      <c r="BQ786" s="84"/>
      <c r="BR786" s="84"/>
      <c r="BS786" s="942"/>
      <c r="BT786" s="942"/>
      <c r="BU786" s="942"/>
      <c r="BV786" s="84"/>
    </row>
    <row r="787" spans="14:74" ht="14.25">
      <c r="N787" s="84"/>
      <c r="O787" s="84"/>
      <c r="P787" s="84"/>
      <c r="Q787" s="84"/>
      <c r="R787" s="84"/>
      <c r="S787" s="84"/>
      <c r="T787" s="84"/>
      <c r="U787" s="84"/>
      <c r="V787" s="84"/>
      <c r="W787" s="84"/>
      <c r="Y787" s="84"/>
      <c r="Z787" s="84"/>
      <c r="AA787" s="84"/>
      <c r="AB787" s="84"/>
      <c r="AC787" s="84"/>
      <c r="AD787" s="84"/>
      <c r="AE787" s="84"/>
      <c r="AF787" s="84"/>
      <c r="AG787" s="84"/>
      <c r="AH787" s="84"/>
      <c r="AI787" s="84"/>
      <c r="AL787" s="84"/>
      <c r="AM787" s="84"/>
      <c r="AN787" s="84"/>
      <c r="AO787" s="84"/>
      <c r="AP787" s="84"/>
      <c r="AQ787" s="84"/>
      <c r="AR787" s="84"/>
      <c r="AS787" s="84"/>
      <c r="AT787" s="84"/>
      <c r="AU787" s="84"/>
      <c r="AV787" s="84"/>
      <c r="AY787" s="84"/>
      <c r="AZ787" s="84"/>
      <c r="BA787" s="84"/>
      <c r="BB787" s="84"/>
      <c r="BC787" s="84"/>
      <c r="BD787" s="84"/>
      <c r="BE787" s="84"/>
      <c r="BF787" s="942"/>
      <c r="BG787" s="942"/>
      <c r="BH787" s="942"/>
      <c r="BI787" s="84"/>
      <c r="BL787" s="84"/>
      <c r="BM787" s="84"/>
      <c r="BN787" s="84"/>
      <c r="BO787" s="84"/>
      <c r="BP787" s="84"/>
      <c r="BQ787" s="84"/>
      <c r="BR787" s="84"/>
      <c r="BS787" s="942"/>
      <c r="BT787" s="942"/>
      <c r="BU787" s="942"/>
      <c r="BV787" s="84"/>
    </row>
    <row r="788" spans="14:74" ht="14.25">
      <c r="N788" s="84"/>
      <c r="O788" s="84"/>
      <c r="P788" s="84"/>
      <c r="Q788" s="84"/>
      <c r="R788" s="84"/>
      <c r="S788" s="84"/>
      <c r="T788" s="84"/>
      <c r="U788" s="84"/>
      <c r="V788" s="84"/>
      <c r="W788" s="84"/>
      <c r="Y788" s="84"/>
      <c r="Z788" s="84"/>
      <c r="AA788" s="84"/>
      <c r="AB788" s="84"/>
      <c r="AC788" s="84"/>
      <c r="AD788" s="84"/>
      <c r="AE788" s="84"/>
      <c r="AF788" s="84"/>
      <c r="AG788" s="84"/>
      <c r="AH788" s="84"/>
      <c r="AI788" s="84"/>
      <c r="AL788" s="84"/>
      <c r="AM788" s="84"/>
      <c r="AN788" s="84"/>
      <c r="AO788" s="84"/>
      <c r="AP788" s="84"/>
      <c r="AQ788" s="84"/>
      <c r="AR788" s="84"/>
      <c r="AS788" s="84"/>
      <c r="AT788" s="84"/>
      <c r="AU788" s="84"/>
      <c r="AV788" s="84"/>
      <c r="AY788" s="84"/>
      <c r="AZ788" s="84"/>
      <c r="BA788" s="84"/>
      <c r="BB788" s="84"/>
      <c r="BC788" s="84"/>
      <c r="BD788" s="84"/>
      <c r="BE788" s="84"/>
      <c r="BF788" s="942"/>
      <c r="BG788" s="942"/>
      <c r="BH788" s="942"/>
      <c r="BI788" s="84"/>
      <c r="BL788" s="84"/>
      <c r="BM788" s="84"/>
      <c r="BN788" s="84"/>
      <c r="BO788" s="84"/>
      <c r="BP788" s="84"/>
      <c r="BQ788" s="84"/>
      <c r="BR788" s="84"/>
      <c r="BS788" s="942"/>
      <c r="BT788" s="942"/>
      <c r="BU788" s="942"/>
      <c r="BV788" s="84"/>
    </row>
    <row r="789" spans="14:74" ht="14.25">
      <c r="N789" s="84"/>
      <c r="O789" s="84"/>
      <c r="P789" s="84"/>
      <c r="Q789" s="84"/>
      <c r="R789" s="84"/>
      <c r="S789" s="84"/>
      <c r="T789" s="84"/>
      <c r="U789" s="84"/>
      <c r="V789" s="84"/>
      <c r="W789" s="84"/>
      <c r="Y789" s="84"/>
      <c r="Z789" s="84"/>
      <c r="AA789" s="84"/>
      <c r="AB789" s="84"/>
      <c r="AC789" s="84"/>
      <c r="AD789" s="84"/>
      <c r="AE789" s="84"/>
      <c r="AF789" s="84"/>
      <c r="AG789" s="84"/>
      <c r="AH789" s="84"/>
      <c r="AI789" s="84"/>
      <c r="AL789" s="84"/>
      <c r="AM789" s="84"/>
      <c r="AN789" s="84"/>
      <c r="AO789" s="84"/>
      <c r="AP789" s="84"/>
      <c r="AQ789" s="84"/>
      <c r="AR789" s="84"/>
      <c r="AS789" s="84"/>
      <c r="AT789" s="84"/>
      <c r="AU789" s="84"/>
      <c r="AV789" s="84"/>
      <c r="AY789" s="84"/>
      <c r="AZ789" s="84"/>
      <c r="BA789" s="84"/>
      <c r="BB789" s="84"/>
      <c r="BC789" s="84"/>
      <c r="BD789" s="84"/>
      <c r="BE789" s="84"/>
      <c r="BF789" s="942"/>
      <c r="BG789" s="942"/>
      <c r="BH789" s="942"/>
      <c r="BI789" s="84"/>
      <c r="BL789" s="84"/>
      <c r="BM789" s="84"/>
      <c r="BN789" s="84"/>
      <c r="BO789" s="84"/>
      <c r="BP789" s="84"/>
      <c r="BQ789" s="84"/>
      <c r="BR789" s="84"/>
      <c r="BS789" s="942"/>
      <c r="BT789" s="942"/>
      <c r="BU789" s="942"/>
      <c r="BV789" s="84"/>
    </row>
    <row r="790" spans="14:74" ht="14.25">
      <c r="N790" s="84"/>
      <c r="O790" s="84"/>
      <c r="P790" s="84"/>
      <c r="Q790" s="84"/>
      <c r="R790" s="84"/>
      <c r="S790" s="84"/>
      <c r="T790" s="84"/>
      <c r="U790" s="84"/>
      <c r="V790" s="84"/>
      <c r="W790" s="84"/>
      <c r="Y790" s="84"/>
      <c r="Z790" s="84"/>
      <c r="AA790" s="84"/>
      <c r="AB790" s="84"/>
      <c r="AC790" s="84"/>
      <c r="AD790" s="84"/>
      <c r="AE790" s="84"/>
      <c r="AF790" s="84"/>
      <c r="AG790" s="84"/>
      <c r="AH790" s="84"/>
      <c r="AI790" s="84"/>
      <c r="AL790" s="84"/>
      <c r="AM790" s="84"/>
      <c r="AN790" s="84"/>
      <c r="AO790" s="84"/>
      <c r="AP790" s="84"/>
      <c r="AQ790" s="84"/>
      <c r="AR790" s="84"/>
      <c r="AS790" s="84"/>
      <c r="AT790" s="84"/>
      <c r="AU790" s="84"/>
      <c r="AV790" s="84"/>
      <c r="AY790" s="84"/>
      <c r="AZ790" s="84"/>
      <c r="BA790" s="84"/>
      <c r="BB790" s="84"/>
      <c r="BC790" s="84"/>
      <c r="BD790" s="84"/>
      <c r="BE790" s="84"/>
      <c r="BF790" s="942"/>
      <c r="BG790" s="942"/>
      <c r="BH790" s="942"/>
      <c r="BI790" s="84"/>
      <c r="BL790" s="84"/>
      <c r="BM790" s="84"/>
      <c r="BN790" s="84"/>
      <c r="BO790" s="84"/>
      <c r="BP790" s="84"/>
      <c r="BQ790" s="84"/>
      <c r="BR790" s="84"/>
      <c r="BS790" s="942"/>
      <c r="BT790" s="942"/>
      <c r="BU790" s="942"/>
      <c r="BV790" s="84"/>
    </row>
    <row r="791" spans="14:74" ht="14.25">
      <c r="N791" s="84"/>
      <c r="O791" s="84"/>
      <c r="P791" s="84"/>
      <c r="Q791" s="84"/>
      <c r="R791" s="84"/>
      <c r="S791" s="84"/>
      <c r="T791" s="84"/>
      <c r="U791" s="84"/>
      <c r="V791" s="84"/>
      <c r="W791" s="84"/>
      <c r="Y791" s="84"/>
      <c r="Z791" s="84"/>
      <c r="AA791" s="84"/>
      <c r="AB791" s="84"/>
      <c r="AC791" s="84"/>
      <c r="AD791" s="84"/>
      <c r="AE791" s="84"/>
      <c r="AF791" s="84"/>
      <c r="AG791" s="84"/>
      <c r="AH791" s="84"/>
      <c r="AI791" s="84"/>
      <c r="AL791" s="84"/>
      <c r="AM791" s="84"/>
      <c r="AN791" s="84"/>
      <c r="AO791" s="84"/>
      <c r="AP791" s="84"/>
      <c r="AQ791" s="84"/>
      <c r="AR791" s="84"/>
      <c r="AS791" s="84"/>
      <c r="AT791" s="84"/>
      <c r="AU791" s="84"/>
      <c r="AV791" s="84"/>
      <c r="AY791" s="84"/>
      <c r="AZ791" s="84"/>
      <c r="BA791" s="84"/>
      <c r="BB791" s="84"/>
      <c r="BC791" s="84"/>
      <c r="BD791" s="84"/>
      <c r="BE791" s="84"/>
      <c r="BF791" s="942"/>
      <c r="BG791" s="942"/>
      <c r="BH791" s="942"/>
      <c r="BI791" s="84"/>
      <c r="BL791" s="84"/>
      <c r="BM791" s="84"/>
      <c r="BN791" s="84"/>
      <c r="BO791" s="84"/>
      <c r="BP791" s="84"/>
      <c r="BQ791" s="84"/>
      <c r="BR791" s="84"/>
      <c r="BS791" s="942"/>
      <c r="BT791" s="942"/>
      <c r="BU791" s="942"/>
      <c r="BV791" s="84"/>
    </row>
    <row r="792" spans="14:74" ht="14.25">
      <c r="N792" s="84"/>
      <c r="O792" s="84"/>
      <c r="P792" s="84"/>
      <c r="Q792" s="84"/>
      <c r="R792" s="84"/>
      <c r="S792" s="84"/>
      <c r="T792" s="84"/>
      <c r="U792" s="84"/>
      <c r="V792" s="84"/>
      <c r="W792" s="84"/>
      <c r="Y792" s="84"/>
      <c r="Z792" s="84"/>
      <c r="AA792" s="84"/>
      <c r="AB792" s="84"/>
      <c r="AC792" s="84"/>
      <c r="AD792" s="84"/>
      <c r="AE792" s="84"/>
      <c r="AF792" s="84"/>
      <c r="AG792" s="84"/>
      <c r="AH792" s="84"/>
      <c r="AI792" s="84"/>
      <c r="AL792" s="84"/>
      <c r="AM792" s="84"/>
      <c r="AN792" s="84"/>
      <c r="AO792" s="84"/>
      <c r="AP792" s="84"/>
      <c r="AQ792" s="84"/>
      <c r="AR792" s="84"/>
      <c r="AS792" s="84"/>
      <c r="AT792" s="84"/>
      <c r="AU792" s="84"/>
      <c r="AV792" s="84"/>
      <c r="AY792" s="84"/>
      <c r="AZ792" s="84"/>
      <c r="BA792" s="84"/>
      <c r="BB792" s="84"/>
      <c r="BC792" s="84"/>
      <c r="BD792" s="84"/>
      <c r="BE792" s="84"/>
      <c r="BF792" s="942"/>
      <c r="BG792" s="942"/>
      <c r="BH792" s="942"/>
      <c r="BI792" s="84"/>
      <c r="BL792" s="84"/>
      <c r="BM792" s="84"/>
      <c r="BN792" s="84"/>
      <c r="BO792" s="84"/>
      <c r="BP792" s="84"/>
      <c r="BQ792" s="84"/>
      <c r="BR792" s="84"/>
      <c r="BS792" s="942"/>
      <c r="BT792" s="942"/>
      <c r="BU792" s="942"/>
      <c r="BV792" s="84"/>
    </row>
    <row r="793" spans="14:74" ht="14.25">
      <c r="N793" s="84"/>
      <c r="O793" s="84"/>
      <c r="P793" s="84"/>
      <c r="Q793" s="84"/>
      <c r="R793" s="84"/>
      <c r="S793" s="84"/>
      <c r="T793" s="84"/>
      <c r="U793" s="84"/>
      <c r="V793" s="84"/>
      <c r="W793" s="84"/>
      <c r="Y793" s="84"/>
      <c r="Z793" s="84"/>
      <c r="AA793" s="84"/>
      <c r="AB793" s="84"/>
      <c r="AC793" s="84"/>
      <c r="AD793" s="84"/>
      <c r="AE793" s="84"/>
      <c r="AF793" s="84"/>
      <c r="AG793" s="84"/>
      <c r="AH793" s="84"/>
      <c r="AI793" s="84"/>
      <c r="AL793" s="84"/>
      <c r="AM793" s="84"/>
      <c r="AN793" s="84"/>
      <c r="AO793" s="84"/>
      <c r="AP793" s="84"/>
      <c r="AQ793" s="84"/>
      <c r="AR793" s="84"/>
      <c r="AS793" s="84"/>
      <c r="AT793" s="84"/>
      <c r="AU793" s="84"/>
      <c r="AV793" s="84"/>
      <c r="AY793" s="84"/>
      <c r="AZ793" s="84"/>
      <c r="BA793" s="84"/>
      <c r="BB793" s="84"/>
      <c r="BC793" s="84"/>
      <c r="BD793" s="84"/>
      <c r="BE793" s="84"/>
      <c r="BF793" s="942"/>
      <c r="BG793" s="942"/>
      <c r="BH793" s="942"/>
      <c r="BI793" s="84"/>
      <c r="BL793" s="84"/>
      <c r="BM793" s="84"/>
      <c r="BN793" s="84"/>
      <c r="BO793" s="84"/>
      <c r="BP793" s="84"/>
      <c r="BQ793" s="84"/>
      <c r="BR793" s="84"/>
      <c r="BS793" s="942"/>
      <c r="BT793" s="942"/>
      <c r="BU793" s="942"/>
      <c r="BV793" s="84"/>
    </row>
    <row r="794" spans="14:74" ht="14.25">
      <c r="N794" s="84"/>
      <c r="O794" s="84"/>
      <c r="P794" s="84"/>
      <c r="Q794" s="84"/>
      <c r="R794" s="84"/>
      <c r="S794" s="84"/>
      <c r="T794" s="84"/>
      <c r="U794" s="84"/>
      <c r="V794" s="84"/>
      <c r="W794" s="84"/>
      <c r="Y794" s="84"/>
      <c r="Z794" s="84"/>
      <c r="AA794" s="84"/>
      <c r="AB794" s="84"/>
      <c r="AC794" s="84"/>
      <c r="AD794" s="84"/>
      <c r="AE794" s="84"/>
      <c r="AF794" s="84"/>
      <c r="AG794" s="84"/>
      <c r="AH794" s="84"/>
      <c r="AI794" s="84"/>
      <c r="AL794" s="84"/>
      <c r="AM794" s="84"/>
      <c r="AN794" s="84"/>
      <c r="AO794" s="84"/>
      <c r="AP794" s="84"/>
      <c r="AQ794" s="84"/>
      <c r="AR794" s="84"/>
      <c r="AS794" s="84"/>
      <c r="AT794" s="84"/>
      <c r="AU794" s="84"/>
      <c r="AV794" s="84"/>
      <c r="AY794" s="84"/>
      <c r="AZ794" s="84"/>
      <c r="BA794" s="84"/>
      <c r="BB794" s="84"/>
      <c r="BC794" s="84"/>
      <c r="BD794" s="84"/>
      <c r="BE794" s="84"/>
      <c r="BF794" s="942"/>
      <c r="BG794" s="942"/>
      <c r="BH794" s="942"/>
      <c r="BI794" s="84"/>
      <c r="BL794" s="84"/>
      <c r="BM794" s="84"/>
      <c r="BN794" s="84"/>
      <c r="BO794" s="84"/>
      <c r="BP794" s="84"/>
      <c r="BQ794" s="84"/>
      <c r="BR794" s="84"/>
      <c r="BS794" s="942"/>
      <c r="BT794" s="942"/>
      <c r="BU794" s="942"/>
      <c r="BV794" s="84"/>
    </row>
    <row r="795" spans="14:74" ht="14.25">
      <c r="N795" s="84"/>
      <c r="O795" s="84"/>
      <c r="P795" s="84"/>
      <c r="Q795" s="84"/>
      <c r="R795" s="84"/>
      <c r="S795" s="84"/>
      <c r="T795" s="84"/>
      <c r="U795" s="84"/>
      <c r="V795" s="84"/>
      <c r="W795" s="84"/>
      <c r="Y795" s="84"/>
      <c r="Z795" s="84"/>
      <c r="AA795" s="84"/>
      <c r="AB795" s="84"/>
      <c r="AC795" s="84"/>
      <c r="AD795" s="84"/>
      <c r="AE795" s="84"/>
      <c r="AF795" s="84"/>
      <c r="AG795" s="84"/>
      <c r="AH795" s="84"/>
      <c r="AI795" s="84"/>
      <c r="AL795" s="84"/>
      <c r="AM795" s="84"/>
      <c r="AN795" s="84"/>
      <c r="AO795" s="84"/>
      <c r="AP795" s="84"/>
      <c r="AQ795" s="84"/>
      <c r="AR795" s="84"/>
      <c r="AS795" s="84"/>
      <c r="AT795" s="84"/>
      <c r="AU795" s="84"/>
      <c r="AV795" s="84"/>
      <c r="AY795" s="84"/>
      <c r="AZ795" s="84"/>
      <c r="BA795" s="84"/>
      <c r="BB795" s="84"/>
      <c r="BC795" s="84"/>
      <c r="BD795" s="84"/>
      <c r="BE795" s="84"/>
      <c r="BF795" s="942"/>
      <c r="BG795" s="942"/>
      <c r="BH795" s="942"/>
      <c r="BI795" s="84"/>
      <c r="BL795" s="84"/>
      <c r="BM795" s="84"/>
      <c r="BN795" s="84"/>
      <c r="BO795" s="84"/>
      <c r="BP795" s="84"/>
      <c r="BQ795" s="84"/>
      <c r="BR795" s="84"/>
      <c r="BS795" s="942"/>
      <c r="BT795" s="942"/>
      <c r="BU795" s="942"/>
      <c r="BV795" s="84"/>
    </row>
    <row r="796" spans="14:74" ht="14.25">
      <c r="N796" s="84"/>
      <c r="O796" s="84"/>
      <c r="P796" s="84"/>
      <c r="Q796" s="84"/>
      <c r="R796" s="84"/>
      <c r="S796" s="84"/>
      <c r="T796" s="84"/>
      <c r="U796" s="84"/>
      <c r="V796" s="84"/>
      <c r="W796" s="84"/>
      <c r="Y796" s="84"/>
      <c r="Z796" s="84"/>
      <c r="AA796" s="84"/>
      <c r="AB796" s="84"/>
      <c r="AC796" s="84"/>
      <c r="AD796" s="84"/>
      <c r="AE796" s="84"/>
      <c r="AF796" s="84"/>
      <c r="AG796" s="84"/>
      <c r="AH796" s="84"/>
      <c r="AI796" s="84"/>
      <c r="AL796" s="84"/>
      <c r="AM796" s="84"/>
      <c r="AN796" s="84"/>
      <c r="AO796" s="84"/>
      <c r="AP796" s="84"/>
      <c r="AQ796" s="84"/>
      <c r="AR796" s="84"/>
      <c r="AS796" s="84"/>
      <c r="AT796" s="84"/>
      <c r="AU796" s="84"/>
      <c r="AV796" s="84"/>
      <c r="AY796" s="84"/>
      <c r="AZ796" s="84"/>
      <c r="BA796" s="84"/>
      <c r="BB796" s="84"/>
      <c r="BC796" s="84"/>
      <c r="BD796" s="84"/>
      <c r="BE796" s="84"/>
      <c r="BF796" s="942"/>
      <c r="BG796" s="942"/>
      <c r="BH796" s="942"/>
      <c r="BI796" s="84"/>
      <c r="BL796" s="84"/>
      <c r="BM796" s="84"/>
      <c r="BN796" s="84"/>
      <c r="BO796" s="84"/>
      <c r="BP796" s="84"/>
      <c r="BQ796" s="84"/>
      <c r="BR796" s="84"/>
      <c r="BS796" s="942"/>
      <c r="BT796" s="942"/>
      <c r="BU796" s="942"/>
      <c r="BV796" s="84"/>
    </row>
    <row r="797" spans="14:74" ht="14.25">
      <c r="N797" s="84"/>
      <c r="O797" s="84"/>
      <c r="P797" s="84"/>
      <c r="Q797" s="84"/>
      <c r="R797" s="84"/>
      <c r="S797" s="84"/>
      <c r="T797" s="84"/>
      <c r="U797" s="84"/>
      <c r="V797" s="84"/>
      <c r="W797" s="84"/>
      <c r="Y797" s="84"/>
      <c r="Z797" s="84"/>
      <c r="AA797" s="84"/>
      <c r="AB797" s="84"/>
      <c r="AC797" s="84"/>
      <c r="AD797" s="84"/>
      <c r="AE797" s="84"/>
      <c r="AF797" s="84"/>
      <c r="AG797" s="84"/>
      <c r="AH797" s="84"/>
      <c r="AI797" s="84"/>
      <c r="AL797" s="84"/>
      <c r="AM797" s="84"/>
      <c r="AN797" s="84"/>
      <c r="AO797" s="84"/>
      <c r="AP797" s="84"/>
      <c r="AQ797" s="84"/>
      <c r="AR797" s="84"/>
      <c r="AS797" s="84"/>
      <c r="AT797" s="84"/>
      <c r="AU797" s="84"/>
      <c r="AV797" s="84"/>
      <c r="AY797" s="84"/>
      <c r="AZ797" s="84"/>
      <c r="BA797" s="84"/>
      <c r="BB797" s="84"/>
      <c r="BC797" s="84"/>
      <c r="BD797" s="84"/>
      <c r="BE797" s="84"/>
      <c r="BF797" s="942"/>
      <c r="BG797" s="942"/>
      <c r="BH797" s="942"/>
      <c r="BI797" s="84"/>
      <c r="BL797" s="84"/>
      <c r="BM797" s="84"/>
      <c r="BN797" s="84"/>
      <c r="BO797" s="84"/>
      <c r="BP797" s="84"/>
      <c r="BQ797" s="84"/>
      <c r="BR797" s="84"/>
      <c r="BS797" s="942"/>
      <c r="BT797" s="942"/>
      <c r="BU797" s="942"/>
      <c r="BV797" s="84"/>
    </row>
    <row r="798" spans="14:74" ht="14.25">
      <c r="N798" s="84"/>
      <c r="O798" s="84"/>
      <c r="P798" s="84"/>
      <c r="Q798" s="84"/>
      <c r="R798" s="84"/>
      <c r="S798" s="84"/>
      <c r="T798" s="84"/>
      <c r="U798" s="84"/>
      <c r="V798" s="84"/>
      <c r="W798" s="84"/>
      <c r="Y798" s="84"/>
      <c r="Z798" s="84"/>
      <c r="AA798" s="84"/>
      <c r="AB798" s="84"/>
      <c r="AC798" s="84"/>
      <c r="AD798" s="84"/>
      <c r="AE798" s="84"/>
      <c r="AF798" s="84"/>
      <c r="AG798" s="84"/>
      <c r="AH798" s="84"/>
      <c r="AI798" s="84"/>
      <c r="AL798" s="84"/>
      <c r="AM798" s="84"/>
      <c r="AN798" s="84"/>
      <c r="AO798" s="84"/>
      <c r="AP798" s="84"/>
      <c r="AQ798" s="84"/>
      <c r="AR798" s="84"/>
      <c r="AS798" s="84"/>
      <c r="AT798" s="84"/>
      <c r="AU798" s="84"/>
      <c r="AV798" s="84"/>
      <c r="AY798" s="84"/>
      <c r="AZ798" s="84"/>
      <c r="BA798" s="84"/>
      <c r="BB798" s="84"/>
      <c r="BC798" s="84"/>
      <c r="BD798" s="84"/>
      <c r="BE798" s="84"/>
      <c r="BF798" s="942"/>
      <c r="BG798" s="942"/>
      <c r="BH798" s="942"/>
      <c r="BI798" s="84"/>
      <c r="BL798" s="84"/>
      <c r="BM798" s="84"/>
      <c r="BN798" s="84"/>
      <c r="BO798" s="84"/>
      <c r="BP798" s="84"/>
      <c r="BQ798" s="84"/>
      <c r="BR798" s="84"/>
      <c r="BS798" s="942"/>
      <c r="BT798" s="942"/>
      <c r="BU798" s="942"/>
      <c r="BV798" s="84"/>
    </row>
    <row r="799" spans="14:74" ht="14.25">
      <c r="N799" s="84"/>
      <c r="O799" s="84"/>
      <c r="P799" s="84"/>
      <c r="Q799" s="84"/>
      <c r="R799" s="84"/>
      <c r="S799" s="84"/>
      <c r="T799" s="84"/>
      <c r="U799" s="84"/>
      <c r="V799" s="84"/>
      <c r="W799" s="84"/>
      <c r="Y799" s="84"/>
      <c r="Z799" s="84"/>
      <c r="AA799" s="84"/>
      <c r="AB799" s="84"/>
      <c r="AC799" s="84"/>
      <c r="AD799" s="84"/>
      <c r="AE799" s="84"/>
      <c r="AF799" s="84"/>
      <c r="AG799" s="84"/>
      <c r="AH799" s="84"/>
      <c r="AI799" s="84"/>
      <c r="AL799" s="84"/>
      <c r="AM799" s="84"/>
      <c r="AN799" s="84"/>
      <c r="AO799" s="84"/>
      <c r="AP799" s="84"/>
      <c r="AQ799" s="84"/>
      <c r="AR799" s="84"/>
      <c r="AS799" s="84"/>
      <c r="AT799" s="84"/>
      <c r="AU799" s="84"/>
      <c r="AV799" s="84"/>
      <c r="AY799" s="84"/>
      <c r="AZ799" s="84"/>
      <c r="BA799" s="84"/>
      <c r="BB799" s="84"/>
      <c r="BC799" s="84"/>
      <c r="BD799" s="84"/>
      <c r="BE799" s="84"/>
      <c r="BF799" s="942"/>
      <c r="BG799" s="942"/>
      <c r="BH799" s="942"/>
      <c r="BI799" s="84"/>
      <c r="BL799" s="84"/>
      <c r="BM799" s="84"/>
      <c r="BN799" s="84"/>
      <c r="BO799" s="84"/>
      <c r="BP799" s="84"/>
      <c r="BQ799" s="84"/>
      <c r="BR799" s="84"/>
      <c r="BS799" s="942"/>
      <c r="BT799" s="942"/>
      <c r="BU799" s="942"/>
      <c r="BV799" s="84"/>
    </row>
    <row r="800" spans="14:74" ht="14.25">
      <c r="N800" s="84"/>
      <c r="O800" s="84"/>
      <c r="P800" s="84"/>
      <c r="Q800" s="84"/>
      <c r="R800" s="84"/>
      <c r="S800" s="84"/>
      <c r="T800" s="84"/>
      <c r="U800" s="84"/>
      <c r="V800" s="84"/>
      <c r="W800" s="84"/>
      <c r="Y800" s="84"/>
      <c r="Z800" s="84"/>
      <c r="AA800" s="84"/>
      <c r="AB800" s="84"/>
      <c r="AC800" s="84"/>
      <c r="AD800" s="84"/>
      <c r="AE800" s="84"/>
      <c r="AF800" s="84"/>
      <c r="AG800" s="84"/>
      <c r="AH800" s="84"/>
      <c r="AI800" s="84"/>
      <c r="AL800" s="84"/>
      <c r="AM800" s="84"/>
      <c r="AN800" s="84"/>
      <c r="AO800" s="84"/>
      <c r="AP800" s="84"/>
      <c r="AQ800" s="84"/>
      <c r="AR800" s="84"/>
      <c r="AS800" s="84"/>
      <c r="AT800" s="84"/>
      <c r="AU800" s="84"/>
      <c r="AV800" s="84"/>
      <c r="AY800" s="84"/>
      <c r="AZ800" s="84"/>
      <c r="BA800" s="84"/>
      <c r="BB800" s="84"/>
      <c r="BC800" s="84"/>
      <c r="BD800" s="84"/>
      <c r="BE800" s="84"/>
      <c r="BF800" s="942"/>
      <c r="BG800" s="942"/>
      <c r="BH800" s="942"/>
      <c r="BI800" s="84"/>
      <c r="BL800" s="84"/>
      <c r="BM800" s="84"/>
      <c r="BN800" s="84"/>
      <c r="BO800" s="84"/>
      <c r="BP800" s="84"/>
      <c r="BQ800" s="84"/>
      <c r="BR800" s="84"/>
      <c r="BS800" s="942"/>
      <c r="BT800" s="942"/>
      <c r="BU800" s="942"/>
      <c r="BV800" s="84"/>
    </row>
    <row r="801" spans="14:74" ht="14.25">
      <c r="N801" s="84"/>
      <c r="O801" s="84"/>
      <c r="P801" s="84"/>
      <c r="Q801" s="84"/>
      <c r="R801" s="84"/>
      <c r="S801" s="84"/>
      <c r="T801" s="84"/>
      <c r="U801" s="84"/>
      <c r="V801" s="84"/>
      <c r="W801" s="84"/>
      <c r="Y801" s="84"/>
      <c r="Z801" s="84"/>
      <c r="AA801" s="84"/>
      <c r="AB801" s="84"/>
      <c r="AC801" s="84"/>
      <c r="AD801" s="84"/>
      <c r="AE801" s="84"/>
      <c r="AF801" s="84"/>
      <c r="AG801" s="84"/>
      <c r="AH801" s="84"/>
      <c r="AI801" s="84"/>
      <c r="AL801" s="84"/>
      <c r="AM801" s="84"/>
      <c r="AN801" s="84"/>
      <c r="AO801" s="84"/>
      <c r="AP801" s="84"/>
      <c r="AQ801" s="84"/>
      <c r="AR801" s="84"/>
      <c r="AS801" s="84"/>
      <c r="AT801" s="84"/>
      <c r="AU801" s="84"/>
      <c r="AV801" s="84"/>
      <c r="AY801" s="84"/>
      <c r="AZ801" s="84"/>
      <c r="BA801" s="84"/>
      <c r="BB801" s="84"/>
      <c r="BC801" s="84"/>
      <c r="BD801" s="84"/>
      <c r="BE801" s="84"/>
      <c r="BF801" s="942"/>
      <c r="BG801" s="942"/>
      <c r="BH801" s="942"/>
      <c r="BI801" s="84"/>
      <c r="BL801" s="84"/>
      <c r="BM801" s="84"/>
      <c r="BN801" s="84"/>
      <c r="BO801" s="84"/>
      <c r="BP801" s="84"/>
      <c r="BQ801" s="84"/>
      <c r="BR801" s="84"/>
      <c r="BS801" s="942"/>
      <c r="BT801" s="942"/>
      <c r="BU801" s="942"/>
      <c r="BV801" s="84"/>
    </row>
    <row r="802" spans="14:74" ht="14.25">
      <c r="N802" s="84"/>
      <c r="O802" s="84"/>
      <c r="P802" s="84"/>
      <c r="Q802" s="84"/>
      <c r="R802" s="84"/>
      <c r="S802" s="84"/>
      <c r="T802" s="84"/>
      <c r="U802" s="84"/>
      <c r="V802" s="84"/>
      <c r="W802" s="84"/>
      <c r="Y802" s="84"/>
      <c r="Z802" s="84"/>
      <c r="AA802" s="84"/>
      <c r="AB802" s="84"/>
      <c r="AC802" s="84"/>
      <c r="AD802" s="84"/>
      <c r="AE802" s="84"/>
      <c r="AF802" s="84"/>
      <c r="AG802" s="84"/>
      <c r="AH802" s="84"/>
      <c r="AI802" s="84"/>
      <c r="AL802" s="84"/>
      <c r="AM802" s="84"/>
      <c r="AN802" s="84"/>
      <c r="AO802" s="84"/>
      <c r="AP802" s="84"/>
      <c r="AQ802" s="84"/>
      <c r="AR802" s="84"/>
      <c r="AS802" s="84"/>
      <c r="AT802" s="84"/>
      <c r="AU802" s="84"/>
      <c r="AV802" s="84"/>
      <c r="AY802" s="84"/>
      <c r="AZ802" s="84"/>
      <c r="BA802" s="84"/>
      <c r="BB802" s="84"/>
      <c r="BC802" s="84"/>
      <c r="BD802" s="84"/>
      <c r="BE802" s="84"/>
      <c r="BF802" s="942"/>
      <c r="BG802" s="942"/>
      <c r="BH802" s="942"/>
      <c r="BI802" s="84"/>
      <c r="BL802" s="84"/>
      <c r="BM802" s="84"/>
      <c r="BN802" s="84"/>
      <c r="BO802" s="84"/>
      <c r="BP802" s="84"/>
      <c r="BQ802" s="84"/>
      <c r="BR802" s="84"/>
      <c r="BS802" s="942"/>
      <c r="BT802" s="942"/>
      <c r="BU802" s="942"/>
      <c r="BV802" s="84"/>
    </row>
    <row r="803" spans="14:74" ht="14.25">
      <c r="N803" s="84"/>
      <c r="O803" s="84"/>
      <c r="P803" s="84"/>
      <c r="Q803" s="84"/>
      <c r="R803" s="84"/>
      <c r="S803" s="84"/>
      <c r="T803" s="84"/>
      <c r="U803" s="84"/>
      <c r="V803" s="84"/>
      <c r="W803" s="84"/>
      <c r="Y803" s="84"/>
      <c r="Z803" s="84"/>
      <c r="AA803" s="84"/>
      <c r="AB803" s="84"/>
      <c r="AC803" s="84"/>
      <c r="AD803" s="84"/>
      <c r="AE803" s="84"/>
      <c r="AF803" s="84"/>
      <c r="AG803" s="84"/>
      <c r="AH803" s="84"/>
      <c r="AI803" s="84"/>
      <c r="AL803" s="84"/>
      <c r="AM803" s="84"/>
      <c r="AN803" s="84"/>
      <c r="AO803" s="84"/>
      <c r="AP803" s="84"/>
      <c r="AQ803" s="84"/>
      <c r="AR803" s="84"/>
      <c r="AS803" s="84"/>
      <c r="AT803" s="84"/>
      <c r="AU803" s="84"/>
      <c r="AV803" s="84"/>
      <c r="AY803" s="84"/>
      <c r="AZ803" s="84"/>
      <c r="BA803" s="84"/>
      <c r="BB803" s="84"/>
      <c r="BC803" s="84"/>
      <c r="BD803" s="84"/>
      <c r="BE803" s="84"/>
      <c r="BF803" s="942"/>
      <c r="BG803" s="942"/>
      <c r="BH803" s="942"/>
      <c r="BI803" s="84"/>
      <c r="BL803" s="84"/>
      <c r="BM803" s="84"/>
      <c r="BN803" s="84"/>
      <c r="BO803" s="84"/>
      <c r="BP803" s="84"/>
      <c r="BQ803" s="84"/>
      <c r="BR803" s="84"/>
      <c r="BS803" s="942"/>
      <c r="BT803" s="942"/>
      <c r="BU803" s="942"/>
      <c r="BV803" s="84"/>
    </row>
    <row r="804" spans="14:74" ht="14.25">
      <c r="N804" s="84"/>
      <c r="O804" s="84"/>
      <c r="P804" s="84"/>
      <c r="Q804" s="84"/>
      <c r="R804" s="84"/>
      <c r="S804" s="84"/>
      <c r="T804" s="84"/>
      <c r="U804" s="84"/>
      <c r="V804" s="84"/>
      <c r="W804" s="84"/>
      <c r="Y804" s="84"/>
      <c r="Z804" s="84"/>
      <c r="AA804" s="84"/>
      <c r="AB804" s="84"/>
      <c r="AC804" s="84"/>
      <c r="AD804" s="84"/>
      <c r="AE804" s="84"/>
      <c r="AF804" s="84"/>
      <c r="AG804" s="84"/>
      <c r="AH804" s="84"/>
      <c r="AI804" s="84"/>
      <c r="AL804" s="84"/>
      <c r="AM804" s="84"/>
      <c r="AN804" s="84"/>
      <c r="AO804" s="84"/>
      <c r="AP804" s="84"/>
      <c r="AQ804" s="84"/>
      <c r="AR804" s="84"/>
      <c r="AS804" s="84"/>
      <c r="AT804" s="84"/>
      <c r="AU804" s="84"/>
      <c r="AV804" s="84"/>
      <c r="AY804" s="84"/>
      <c r="AZ804" s="84"/>
      <c r="BA804" s="84"/>
      <c r="BB804" s="84"/>
      <c r="BC804" s="84"/>
      <c r="BD804" s="84"/>
      <c r="BE804" s="84"/>
      <c r="BF804" s="942"/>
      <c r="BG804" s="942"/>
      <c r="BH804" s="942"/>
      <c r="BI804" s="84"/>
      <c r="BL804" s="84"/>
      <c r="BM804" s="84"/>
      <c r="BN804" s="84"/>
      <c r="BO804" s="84"/>
      <c r="BP804" s="84"/>
      <c r="BQ804" s="84"/>
      <c r="BR804" s="84"/>
      <c r="BS804" s="942"/>
      <c r="BT804" s="942"/>
      <c r="BU804" s="942"/>
      <c r="BV804" s="84"/>
    </row>
    <row r="805" spans="14:74" ht="14.25">
      <c r="N805" s="84"/>
      <c r="O805" s="84"/>
      <c r="P805" s="84"/>
      <c r="Q805" s="84"/>
      <c r="R805" s="84"/>
      <c r="S805" s="84"/>
      <c r="T805" s="84"/>
      <c r="U805" s="84"/>
      <c r="V805" s="84"/>
      <c r="W805" s="84"/>
      <c r="Y805" s="84"/>
      <c r="Z805" s="84"/>
      <c r="AA805" s="84"/>
      <c r="AB805" s="84"/>
      <c r="AC805" s="84"/>
      <c r="AD805" s="84"/>
      <c r="AE805" s="84"/>
      <c r="AF805" s="84"/>
      <c r="AG805" s="84"/>
      <c r="AH805" s="84"/>
      <c r="AI805" s="84"/>
      <c r="AL805" s="84"/>
      <c r="AM805" s="84"/>
      <c r="AN805" s="84"/>
      <c r="AO805" s="84"/>
      <c r="AP805" s="84"/>
      <c r="AQ805" s="84"/>
      <c r="AR805" s="84"/>
      <c r="AS805" s="84"/>
      <c r="AT805" s="84"/>
      <c r="AU805" s="84"/>
      <c r="AV805" s="84"/>
      <c r="AY805" s="84"/>
      <c r="AZ805" s="84"/>
      <c r="BA805" s="84"/>
      <c r="BB805" s="84"/>
      <c r="BC805" s="84"/>
      <c r="BD805" s="84"/>
      <c r="BE805" s="84"/>
      <c r="BF805" s="942"/>
      <c r="BG805" s="942"/>
      <c r="BH805" s="942"/>
      <c r="BI805" s="84"/>
      <c r="BL805" s="84"/>
      <c r="BM805" s="84"/>
      <c r="BN805" s="84"/>
      <c r="BO805" s="84"/>
      <c r="BP805" s="84"/>
      <c r="BQ805" s="84"/>
      <c r="BR805" s="84"/>
      <c r="BS805" s="942"/>
      <c r="BT805" s="942"/>
      <c r="BU805" s="942"/>
      <c r="BV805" s="84"/>
    </row>
    <row r="806" spans="14:74" ht="14.25">
      <c r="N806" s="84"/>
      <c r="O806" s="84"/>
      <c r="P806" s="84"/>
      <c r="Q806" s="84"/>
      <c r="R806" s="84"/>
      <c r="S806" s="84"/>
      <c r="T806" s="84"/>
      <c r="U806" s="84"/>
      <c r="V806" s="84"/>
      <c r="W806" s="84"/>
      <c r="Y806" s="84"/>
      <c r="Z806" s="84"/>
      <c r="AA806" s="84"/>
      <c r="AB806" s="84"/>
      <c r="AC806" s="84"/>
      <c r="AD806" s="84"/>
      <c r="AE806" s="84"/>
      <c r="AF806" s="84"/>
      <c r="AG806" s="84"/>
      <c r="AH806" s="84"/>
      <c r="AI806" s="84"/>
      <c r="AL806" s="84"/>
      <c r="AM806" s="84"/>
      <c r="AN806" s="84"/>
      <c r="AO806" s="84"/>
      <c r="AP806" s="84"/>
      <c r="AQ806" s="84"/>
      <c r="AR806" s="84"/>
      <c r="AS806" s="84"/>
      <c r="AT806" s="84"/>
      <c r="AU806" s="84"/>
      <c r="AV806" s="84"/>
      <c r="AY806" s="84"/>
      <c r="AZ806" s="84"/>
      <c r="BA806" s="84"/>
      <c r="BB806" s="84"/>
      <c r="BC806" s="84"/>
      <c r="BD806" s="84"/>
      <c r="BE806" s="84"/>
      <c r="BF806" s="942"/>
      <c r="BG806" s="942"/>
      <c r="BH806" s="942"/>
      <c r="BI806" s="84"/>
      <c r="BL806" s="84"/>
      <c r="BM806" s="84"/>
      <c r="BN806" s="84"/>
      <c r="BO806" s="84"/>
      <c r="BP806" s="84"/>
      <c r="BQ806" s="84"/>
      <c r="BR806" s="84"/>
      <c r="BS806" s="942"/>
      <c r="BT806" s="942"/>
      <c r="BU806" s="942"/>
      <c r="BV806" s="84"/>
    </row>
    <row r="807" spans="14:74" ht="14.25">
      <c r="N807" s="84"/>
      <c r="O807" s="84"/>
      <c r="P807" s="84"/>
      <c r="Q807" s="84"/>
      <c r="R807" s="84"/>
      <c r="S807" s="84"/>
      <c r="T807" s="84"/>
      <c r="U807" s="84"/>
      <c r="V807" s="84"/>
      <c r="W807" s="84"/>
      <c r="Y807" s="84"/>
      <c r="Z807" s="84"/>
      <c r="AA807" s="84"/>
      <c r="AB807" s="84"/>
      <c r="AC807" s="84"/>
      <c r="AD807" s="84"/>
      <c r="AE807" s="84"/>
      <c r="AF807" s="84"/>
      <c r="AG807" s="84"/>
      <c r="AH807" s="84"/>
      <c r="AI807" s="84"/>
      <c r="AL807" s="84"/>
      <c r="AM807" s="84"/>
      <c r="AN807" s="84"/>
      <c r="AO807" s="84"/>
      <c r="AP807" s="84"/>
      <c r="AQ807" s="84"/>
      <c r="AR807" s="84"/>
      <c r="AS807" s="84"/>
      <c r="AT807" s="84"/>
      <c r="AU807" s="84"/>
      <c r="AV807" s="84"/>
      <c r="AY807" s="84"/>
      <c r="AZ807" s="84"/>
      <c r="BA807" s="84"/>
      <c r="BB807" s="84"/>
      <c r="BC807" s="84"/>
      <c r="BD807" s="84"/>
      <c r="BE807" s="84"/>
      <c r="BF807" s="942"/>
      <c r="BG807" s="942"/>
      <c r="BH807" s="942"/>
      <c r="BI807" s="84"/>
      <c r="BL807" s="84"/>
      <c r="BM807" s="84"/>
      <c r="BN807" s="84"/>
      <c r="BO807" s="84"/>
      <c r="BP807" s="84"/>
      <c r="BQ807" s="84"/>
      <c r="BR807" s="84"/>
      <c r="BS807" s="942"/>
      <c r="BT807" s="942"/>
      <c r="BU807" s="942"/>
      <c r="BV807" s="84"/>
    </row>
    <row r="808" spans="14:74" ht="14.25">
      <c r="N808" s="84"/>
      <c r="O808" s="84"/>
      <c r="P808" s="84"/>
      <c r="Q808" s="84"/>
      <c r="R808" s="84"/>
      <c r="S808" s="84"/>
      <c r="T808" s="84"/>
      <c r="U808" s="84"/>
      <c r="V808" s="84"/>
      <c r="W808" s="84"/>
      <c r="Y808" s="84"/>
      <c r="Z808" s="84"/>
      <c r="AA808" s="84"/>
      <c r="AB808" s="84"/>
      <c r="AC808" s="84"/>
      <c r="AD808" s="84"/>
      <c r="AE808" s="84"/>
      <c r="AF808" s="84"/>
      <c r="AG808" s="84"/>
      <c r="AH808" s="84"/>
      <c r="AI808" s="84"/>
      <c r="AL808" s="84"/>
      <c r="AM808" s="84"/>
      <c r="AN808" s="84"/>
      <c r="AO808" s="84"/>
      <c r="AP808" s="84"/>
      <c r="AQ808" s="84"/>
      <c r="AR808" s="84"/>
      <c r="AS808" s="84"/>
      <c r="AT808" s="84"/>
      <c r="AU808" s="84"/>
      <c r="AV808" s="84"/>
      <c r="AY808" s="84"/>
      <c r="AZ808" s="84"/>
      <c r="BA808" s="84"/>
      <c r="BB808" s="84"/>
      <c r="BC808" s="84"/>
      <c r="BD808" s="84"/>
      <c r="BE808" s="84"/>
      <c r="BF808" s="942"/>
      <c r="BG808" s="942"/>
      <c r="BH808" s="942"/>
      <c r="BI808" s="84"/>
      <c r="BL808" s="84"/>
      <c r="BM808" s="84"/>
      <c r="BN808" s="84"/>
      <c r="BO808" s="84"/>
      <c r="BP808" s="84"/>
      <c r="BQ808" s="84"/>
      <c r="BR808" s="84"/>
      <c r="BS808" s="942"/>
      <c r="BT808" s="942"/>
      <c r="BU808" s="942"/>
      <c r="BV808" s="84"/>
    </row>
    <row r="809" spans="14:74" ht="14.25">
      <c r="N809" s="84"/>
      <c r="O809" s="84"/>
      <c r="P809" s="84"/>
      <c r="Q809" s="84"/>
      <c r="R809" s="84"/>
      <c r="S809" s="84"/>
      <c r="T809" s="84"/>
      <c r="U809" s="84"/>
      <c r="V809" s="84"/>
      <c r="W809" s="84"/>
      <c r="Y809" s="84"/>
      <c r="Z809" s="84"/>
      <c r="AA809" s="84"/>
      <c r="AB809" s="84"/>
      <c r="AC809" s="84"/>
      <c r="AD809" s="84"/>
      <c r="AE809" s="84"/>
      <c r="AF809" s="84"/>
      <c r="AG809" s="84"/>
      <c r="AH809" s="84"/>
      <c r="AI809" s="84"/>
      <c r="AL809" s="84"/>
      <c r="AM809" s="84"/>
      <c r="AN809" s="84"/>
      <c r="AO809" s="84"/>
      <c r="AP809" s="84"/>
      <c r="AQ809" s="84"/>
      <c r="AR809" s="84"/>
      <c r="AS809" s="84"/>
      <c r="AT809" s="84"/>
      <c r="AU809" s="84"/>
      <c r="AV809" s="84"/>
      <c r="AY809" s="84"/>
      <c r="AZ809" s="84"/>
      <c r="BA809" s="84"/>
      <c r="BB809" s="84"/>
      <c r="BC809" s="84"/>
      <c r="BD809" s="84"/>
      <c r="BE809" s="84"/>
      <c r="BF809" s="942"/>
      <c r="BG809" s="942"/>
      <c r="BH809" s="942"/>
      <c r="BI809" s="84"/>
      <c r="BL809" s="84"/>
      <c r="BM809" s="84"/>
      <c r="BN809" s="84"/>
      <c r="BO809" s="84"/>
      <c r="BP809" s="84"/>
      <c r="BQ809" s="84"/>
      <c r="BR809" s="84"/>
      <c r="BS809" s="942"/>
      <c r="BT809" s="942"/>
      <c r="BU809" s="942"/>
      <c r="BV809" s="84"/>
    </row>
    <row r="810" spans="14:74" ht="14.25">
      <c r="N810" s="84"/>
      <c r="O810" s="84"/>
      <c r="P810" s="84"/>
      <c r="Q810" s="84"/>
      <c r="R810" s="84"/>
      <c r="S810" s="84"/>
      <c r="T810" s="84"/>
      <c r="U810" s="84"/>
      <c r="V810" s="84"/>
      <c r="W810" s="84"/>
      <c r="Y810" s="84"/>
      <c r="Z810" s="84"/>
      <c r="AA810" s="84"/>
      <c r="AB810" s="84"/>
      <c r="AC810" s="84"/>
      <c r="AD810" s="84"/>
      <c r="AE810" s="84"/>
      <c r="AF810" s="84"/>
      <c r="AG810" s="84"/>
      <c r="AH810" s="84"/>
      <c r="AI810" s="84"/>
      <c r="AL810" s="84"/>
      <c r="AM810" s="84"/>
      <c r="AN810" s="84"/>
      <c r="AO810" s="84"/>
      <c r="AP810" s="84"/>
      <c r="AQ810" s="84"/>
      <c r="AR810" s="84"/>
      <c r="AS810" s="84"/>
      <c r="AT810" s="84"/>
      <c r="AU810" s="84"/>
      <c r="AV810" s="84"/>
      <c r="AY810" s="84"/>
      <c r="AZ810" s="84"/>
      <c r="BA810" s="84"/>
      <c r="BB810" s="84"/>
      <c r="BC810" s="84"/>
      <c r="BD810" s="84"/>
      <c r="BE810" s="84"/>
      <c r="BF810" s="942"/>
      <c r="BG810" s="942"/>
      <c r="BH810" s="942"/>
      <c r="BI810" s="84"/>
      <c r="BL810" s="84"/>
      <c r="BM810" s="84"/>
      <c r="BN810" s="84"/>
      <c r="BO810" s="84"/>
      <c r="BP810" s="84"/>
      <c r="BQ810" s="84"/>
      <c r="BR810" s="84"/>
      <c r="BS810" s="942"/>
      <c r="BT810" s="942"/>
      <c r="BU810" s="942"/>
      <c r="BV810" s="84"/>
    </row>
    <row r="811" spans="14:74" ht="14.25">
      <c r="N811" s="84"/>
      <c r="O811" s="84"/>
      <c r="P811" s="84"/>
      <c r="Q811" s="84"/>
      <c r="R811" s="84"/>
      <c r="S811" s="84"/>
      <c r="T811" s="84"/>
      <c r="U811" s="84"/>
      <c r="V811" s="84"/>
      <c r="W811" s="84"/>
      <c r="Y811" s="84"/>
      <c r="Z811" s="84"/>
      <c r="AA811" s="84"/>
      <c r="AB811" s="84"/>
      <c r="AC811" s="84"/>
      <c r="AD811" s="84"/>
      <c r="AE811" s="84"/>
      <c r="AF811" s="84"/>
      <c r="AG811" s="84"/>
      <c r="AH811" s="84"/>
      <c r="AI811" s="84"/>
      <c r="AL811" s="84"/>
      <c r="AM811" s="84"/>
      <c r="AN811" s="84"/>
      <c r="AO811" s="84"/>
      <c r="AP811" s="84"/>
      <c r="AQ811" s="84"/>
      <c r="AR811" s="84"/>
      <c r="AS811" s="84"/>
      <c r="AT811" s="84"/>
      <c r="AU811" s="84"/>
      <c r="AV811" s="84"/>
      <c r="AY811" s="84"/>
      <c r="AZ811" s="84"/>
      <c r="BA811" s="84"/>
      <c r="BB811" s="84"/>
      <c r="BC811" s="84"/>
      <c r="BD811" s="84"/>
      <c r="BE811" s="84"/>
      <c r="BF811" s="942"/>
      <c r="BG811" s="942"/>
      <c r="BH811" s="942"/>
      <c r="BI811" s="84"/>
      <c r="BL811" s="84"/>
      <c r="BM811" s="84"/>
      <c r="BN811" s="84"/>
      <c r="BO811" s="84"/>
      <c r="BP811" s="84"/>
      <c r="BQ811" s="84"/>
      <c r="BR811" s="84"/>
      <c r="BS811" s="942"/>
      <c r="BT811" s="942"/>
      <c r="BU811" s="942"/>
      <c r="BV811" s="84"/>
    </row>
    <row r="812" spans="14:74" ht="14.25">
      <c r="N812" s="84"/>
      <c r="O812" s="84"/>
      <c r="P812" s="84"/>
      <c r="Q812" s="84"/>
      <c r="R812" s="84"/>
      <c r="S812" s="84"/>
      <c r="T812" s="84"/>
      <c r="U812" s="84"/>
      <c r="V812" s="84"/>
      <c r="W812" s="84"/>
      <c r="Y812" s="84"/>
      <c r="Z812" s="84"/>
      <c r="AA812" s="84"/>
      <c r="AB812" s="84"/>
      <c r="AC812" s="84"/>
      <c r="AD812" s="84"/>
      <c r="AE812" s="84"/>
      <c r="AF812" s="84"/>
      <c r="AG812" s="84"/>
      <c r="AH812" s="84"/>
      <c r="AI812" s="84"/>
      <c r="AL812" s="84"/>
      <c r="AM812" s="84"/>
      <c r="AN812" s="84"/>
      <c r="AO812" s="84"/>
      <c r="AP812" s="84"/>
      <c r="AQ812" s="84"/>
      <c r="AR812" s="84"/>
      <c r="AS812" s="84"/>
      <c r="AT812" s="84"/>
      <c r="AU812" s="84"/>
      <c r="AV812" s="84"/>
      <c r="AY812" s="84"/>
      <c r="AZ812" s="84"/>
      <c r="BA812" s="84"/>
      <c r="BB812" s="84"/>
      <c r="BC812" s="84"/>
      <c r="BD812" s="84"/>
      <c r="BE812" s="84"/>
      <c r="BF812" s="942"/>
      <c r="BG812" s="942"/>
      <c r="BH812" s="942"/>
      <c r="BI812" s="84"/>
      <c r="BL812" s="84"/>
      <c r="BM812" s="84"/>
      <c r="BN812" s="84"/>
      <c r="BO812" s="84"/>
      <c r="BP812" s="84"/>
      <c r="BQ812" s="84"/>
      <c r="BR812" s="84"/>
      <c r="BS812" s="942"/>
      <c r="BT812" s="942"/>
      <c r="BU812" s="942"/>
      <c r="BV812" s="84"/>
    </row>
    <row r="813" spans="14:74" ht="14.25">
      <c r="N813" s="84"/>
      <c r="O813" s="84"/>
      <c r="P813" s="84"/>
      <c r="Q813" s="84"/>
      <c r="R813" s="84"/>
      <c r="S813" s="84"/>
      <c r="T813" s="84"/>
      <c r="U813" s="84"/>
      <c r="V813" s="84"/>
      <c r="W813" s="84"/>
      <c r="Y813" s="84"/>
      <c r="Z813" s="84"/>
      <c r="AA813" s="84"/>
      <c r="AB813" s="84"/>
      <c r="AC813" s="84"/>
      <c r="AD813" s="84"/>
      <c r="AE813" s="84"/>
      <c r="AF813" s="84"/>
      <c r="AG813" s="84"/>
      <c r="AH813" s="84"/>
      <c r="AI813" s="84"/>
      <c r="AL813" s="84"/>
      <c r="AM813" s="84"/>
      <c r="AN813" s="84"/>
      <c r="AO813" s="84"/>
      <c r="AP813" s="84"/>
      <c r="AQ813" s="84"/>
      <c r="AR813" s="84"/>
      <c r="AS813" s="84"/>
      <c r="AT813" s="84"/>
      <c r="AU813" s="84"/>
      <c r="AV813" s="84"/>
      <c r="AY813" s="84"/>
      <c r="AZ813" s="84"/>
      <c r="BA813" s="84"/>
      <c r="BB813" s="84"/>
      <c r="BC813" s="84"/>
      <c r="BD813" s="84"/>
      <c r="BE813" s="84"/>
      <c r="BF813" s="942"/>
      <c r="BG813" s="942"/>
      <c r="BH813" s="942"/>
      <c r="BI813" s="84"/>
      <c r="BL813" s="84"/>
      <c r="BM813" s="84"/>
      <c r="BN813" s="84"/>
      <c r="BO813" s="84"/>
      <c r="BP813" s="84"/>
      <c r="BQ813" s="84"/>
      <c r="BR813" s="84"/>
      <c r="BS813" s="942"/>
      <c r="BT813" s="942"/>
      <c r="BU813" s="942"/>
      <c r="BV813" s="84"/>
    </row>
    <row r="814" spans="14:74" ht="14.25">
      <c r="N814" s="84"/>
      <c r="O814" s="84"/>
      <c r="P814" s="84"/>
      <c r="Q814" s="84"/>
      <c r="R814" s="84"/>
      <c r="S814" s="84"/>
      <c r="T814" s="84"/>
      <c r="U814" s="84"/>
      <c r="V814" s="84"/>
      <c r="W814" s="84"/>
      <c r="Y814" s="84"/>
      <c r="Z814" s="84"/>
      <c r="AA814" s="84"/>
      <c r="AB814" s="84"/>
      <c r="AC814" s="84"/>
      <c r="AD814" s="84"/>
      <c r="AE814" s="84"/>
      <c r="AF814" s="84"/>
      <c r="AG814" s="84"/>
      <c r="AH814" s="84"/>
      <c r="AI814" s="84"/>
      <c r="AL814" s="84"/>
      <c r="AM814" s="84"/>
      <c r="AN814" s="84"/>
      <c r="AO814" s="84"/>
      <c r="AP814" s="84"/>
      <c r="AQ814" s="84"/>
      <c r="AR814" s="84"/>
      <c r="AS814" s="84"/>
      <c r="AT814" s="84"/>
      <c r="AU814" s="84"/>
      <c r="AV814" s="84"/>
      <c r="AY814" s="84"/>
      <c r="AZ814" s="84"/>
      <c r="BA814" s="84"/>
      <c r="BB814" s="84"/>
      <c r="BC814" s="84"/>
      <c r="BD814" s="84"/>
      <c r="BE814" s="84"/>
      <c r="BF814" s="942"/>
      <c r="BG814" s="942"/>
      <c r="BH814" s="942"/>
      <c r="BI814" s="84"/>
      <c r="BL814" s="84"/>
      <c r="BM814" s="84"/>
      <c r="BN814" s="84"/>
      <c r="BO814" s="84"/>
      <c r="BP814" s="84"/>
      <c r="BQ814" s="84"/>
      <c r="BR814" s="84"/>
      <c r="BS814" s="942"/>
      <c r="BT814" s="942"/>
      <c r="BU814" s="942"/>
      <c r="BV814" s="84"/>
    </row>
    <row r="815" spans="14:74" ht="14.25">
      <c r="N815" s="84"/>
      <c r="O815" s="84"/>
      <c r="P815" s="84"/>
      <c r="Q815" s="84"/>
      <c r="R815" s="84"/>
      <c r="S815" s="84"/>
      <c r="T815" s="84"/>
      <c r="U815" s="84"/>
      <c r="V815" s="84"/>
      <c r="W815" s="84"/>
      <c r="Y815" s="84"/>
      <c r="Z815" s="84"/>
      <c r="AA815" s="84"/>
      <c r="AB815" s="84"/>
      <c r="AC815" s="84"/>
      <c r="AD815" s="84"/>
      <c r="AE815" s="84"/>
      <c r="AF815" s="84"/>
      <c r="AG815" s="84"/>
      <c r="AH815" s="84"/>
      <c r="AI815" s="84"/>
      <c r="AL815" s="84"/>
      <c r="AM815" s="84"/>
      <c r="AN815" s="84"/>
      <c r="AO815" s="84"/>
      <c r="AP815" s="84"/>
      <c r="AQ815" s="84"/>
      <c r="AR815" s="84"/>
      <c r="AS815" s="84"/>
      <c r="AT815" s="84"/>
      <c r="AU815" s="84"/>
      <c r="AV815" s="84"/>
      <c r="AY815" s="84"/>
      <c r="AZ815" s="84"/>
      <c r="BA815" s="84"/>
      <c r="BB815" s="84"/>
      <c r="BC815" s="84"/>
      <c r="BD815" s="84"/>
      <c r="BE815" s="84"/>
      <c r="BF815" s="942"/>
      <c r="BG815" s="942"/>
      <c r="BH815" s="942"/>
      <c r="BI815" s="84"/>
      <c r="BL815" s="84"/>
      <c r="BM815" s="84"/>
      <c r="BN815" s="84"/>
      <c r="BO815" s="84"/>
      <c r="BP815" s="84"/>
      <c r="BQ815" s="84"/>
      <c r="BR815" s="84"/>
      <c r="BS815" s="942"/>
      <c r="BT815" s="942"/>
      <c r="BU815" s="942"/>
      <c r="BV815" s="84"/>
    </row>
    <row r="816" spans="14:74" ht="14.25">
      <c r="N816" s="84"/>
      <c r="O816" s="84"/>
      <c r="P816" s="84"/>
      <c r="Q816" s="84"/>
      <c r="R816" s="84"/>
      <c r="S816" s="84"/>
      <c r="T816" s="84"/>
      <c r="U816" s="84"/>
      <c r="V816" s="84"/>
      <c r="W816" s="84"/>
      <c r="Y816" s="84"/>
      <c r="Z816" s="84"/>
      <c r="AA816" s="84"/>
      <c r="AB816" s="84"/>
      <c r="AC816" s="84"/>
      <c r="AD816" s="84"/>
      <c r="AE816" s="84"/>
      <c r="AF816" s="84"/>
      <c r="AG816" s="84"/>
      <c r="AH816" s="84"/>
      <c r="AI816" s="84"/>
      <c r="AL816" s="84"/>
      <c r="AM816" s="84"/>
      <c r="AN816" s="84"/>
      <c r="AO816" s="84"/>
      <c r="AP816" s="84"/>
      <c r="AQ816" s="84"/>
      <c r="AR816" s="84"/>
      <c r="AS816" s="84"/>
      <c r="AT816" s="84"/>
      <c r="AU816" s="84"/>
      <c r="AV816" s="84"/>
      <c r="AY816" s="84"/>
      <c r="AZ816" s="84"/>
      <c r="BA816" s="84"/>
      <c r="BB816" s="84"/>
      <c r="BC816" s="84"/>
      <c r="BD816" s="84"/>
      <c r="BE816" s="84"/>
      <c r="BF816" s="942"/>
      <c r="BG816" s="942"/>
      <c r="BH816" s="942"/>
      <c r="BI816" s="84"/>
      <c r="BL816" s="84"/>
      <c r="BM816" s="84"/>
      <c r="BN816" s="84"/>
      <c r="BO816" s="84"/>
      <c r="BP816" s="84"/>
      <c r="BQ816" s="84"/>
      <c r="BR816" s="84"/>
      <c r="BS816" s="942"/>
      <c r="BT816" s="942"/>
      <c r="BU816" s="942"/>
      <c r="BV816" s="84"/>
    </row>
    <row r="817" spans="14:74" ht="14.25">
      <c r="N817" s="84"/>
      <c r="O817" s="84"/>
      <c r="P817" s="84"/>
      <c r="Q817" s="84"/>
      <c r="R817" s="84"/>
      <c r="S817" s="84"/>
      <c r="T817" s="84"/>
      <c r="U817" s="84"/>
      <c r="V817" s="84"/>
      <c r="W817" s="84"/>
      <c r="Y817" s="84"/>
      <c r="Z817" s="84"/>
      <c r="AA817" s="84"/>
      <c r="AB817" s="84"/>
      <c r="AC817" s="84"/>
      <c r="AD817" s="84"/>
      <c r="AE817" s="84"/>
      <c r="AF817" s="84"/>
      <c r="AG817" s="84"/>
      <c r="AH817" s="84"/>
      <c r="AI817" s="84"/>
      <c r="AL817" s="84"/>
      <c r="AM817" s="84"/>
      <c r="AN817" s="84"/>
      <c r="AO817" s="84"/>
      <c r="AP817" s="84"/>
      <c r="AQ817" s="84"/>
      <c r="AR817" s="84"/>
      <c r="AS817" s="84"/>
      <c r="AT817" s="84"/>
      <c r="AU817" s="84"/>
      <c r="AV817" s="84"/>
      <c r="AY817" s="84"/>
      <c r="AZ817" s="84"/>
      <c r="BA817" s="84"/>
      <c r="BB817" s="84"/>
      <c r="BC817" s="84"/>
      <c r="BD817" s="84"/>
      <c r="BE817" s="84"/>
      <c r="BF817" s="942"/>
      <c r="BG817" s="942"/>
      <c r="BH817" s="942"/>
      <c r="BI817" s="84"/>
      <c r="BL817" s="84"/>
      <c r="BM817" s="84"/>
      <c r="BN817" s="84"/>
      <c r="BO817" s="84"/>
      <c r="BP817" s="84"/>
      <c r="BQ817" s="84"/>
      <c r="BR817" s="84"/>
      <c r="BS817" s="942"/>
      <c r="BT817" s="942"/>
      <c r="BU817" s="942"/>
      <c r="BV817" s="84"/>
    </row>
    <row r="818" spans="14:74" ht="14.25">
      <c r="N818" s="84"/>
      <c r="O818" s="84"/>
      <c r="P818" s="84"/>
      <c r="Q818" s="84"/>
      <c r="R818" s="84"/>
      <c r="S818" s="84"/>
      <c r="T818" s="84"/>
      <c r="U818" s="84"/>
      <c r="V818" s="84"/>
      <c r="W818" s="84"/>
      <c r="Y818" s="84"/>
      <c r="Z818" s="84"/>
      <c r="AA818" s="84"/>
      <c r="AB818" s="84"/>
      <c r="AC818" s="84"/>
      <c r="AD818" s="84"/>
      <c r="AE818" s="84"/>
      <c r="AF818" s="84"/>
      <c r="AG818" s="84"/>
      <c r="AH818" s="84"/>
      <c r="AI818" s="84"/>
      <c r="AL818" s="84"/>
      <c r="AM818" s="84"/>
      <c r="AN818" s="84"/>
      <c r="AO818" s="84"/>
      <c r="AP818" s="84"/>
      <c r="AQ818" s="84"/>
      <c r="AR818" s="84"/>
      <c r="AS818" s="84"/>
      <c r="AT818" s="84"/>
      <c r="AU818" s="84"/>
      <c r="AV818" s="84"/>
      <c r="AY818" s="84"/>
      <c r="AZ818" s="84"/>
      <c r="BA818" s="84"/>
      <c r="BB818" s="84"/>
      <c r="BC818" s="84"/>
      <c r="BD818" s="84"/>
      <c r="BE818" s="84"/>
      <c r="BF818" s="942"/>
      <c r="BG818" s="942"/>
      <c r="BH818" s="942"/>
      <c r="BI818" s="84"/>
      <c r="BL818" s="84"/>
      <c r="BM818" s="84"/>
      <c r="BN818" s="84"/>
      <c r="BO818" s="84"/>
      <c r="BP818" s="84"/>
      <c r="BQ818" s="84"/>
      <c r="BR818" s="84"/>
      <c r="BS818" s="942"/>
      <c r="BT818" s="942"/>
      <c r="BU818" s="942"/>
      <c r="BV818" s="84"/>
    </row>
    <row r="819" spans="14:74" ht="14.25">
      <c r="N819" s="84"/>
      <c r="O819" s="84"/>
      <c r="P819" s="84"/>
      <c r="Q819" s="84"/>
      <c r="R819" s="84"/>
      <c r="S819" s="84"/>
      <c r="T819" s="84"/>
      <c r="U819" s="84"/>
      <c r="V819" s="84"/>
      <c r="W819" s="84"/>
      <c r="Y819" s="84"/>
      <c r="Z819" s="84"/>
      <c r="AA819" s="84"/>
      <c r="AB819" s="84"/>
      <c r="AC819" s="84"/>
      <c r="AD819" s="84"/>
      <c r="AE819" s="84"/>
      <c r="AF819" s="84"/>
      <c r="AG819" s="84"/>
      <c r="AH819" s="84"/>
      <c r="AI819" s="84"/>
      <c r="AL819" s="84"/>
      <c r="AM819" s="84"/>
      <c r="AN819" s="84"/>
      <c r="AO819" s="84"/>
      <c r="AP819" s="84"/>
      <c r="AQ819" s="84"/>
      <c r="AR819" s="84"/>
      <c r="AS819" s="84"/>
      <c r="AT819" s="84"/>
      <c r="AU819" s="84"/>
      <c r="AV819" s="84"/>
      <c r="AY819" s="84"/>
      <c r="AZ819" s="84"/>
      <c r="BA819" s="84"/>
      <c r="BB819" s="84"/>
      <c r="BC819" s="84"/>
      <c r="BD819" s="84"/>
      <c r="BE819" s="84"/>
      <c r="BF819" s="942"/>
      <c r="BG819" s="942"/>
      <c r="BH819" s="942"/>
      <c r="BI819" s="84"/>
      <c r="BL819" s="84"/>
      <c r="BM819" s="84"/>
      <c r="BN819" s="84"/>
      <c r="BO819" s="84"/>
      <c r="BP819" s="84"/>
      <c r="BQ819" s="84"/>
      <c r="BR819" s="84"/>
      <c r="BS819" s="942"/>
      <c r="BT819" s="942"/>
      <c r="BU819" s="942"/>
      <c r="BV819" s="84"/>
    </row>
    <row r="820" spans="14:74" ht="14.25">
      <c r="N820" s="84"/>
      <c r="O820" s="84"/>
      <c r="P820" s="84"/>
      <c r="Q820" s="84"/>
      <c r="R820" s="84"/>
      <c r="S820" s="84"/>
      <c r="T820" s="84"/>
      <c r="U820" s="84"/>
      <c r="V820" s="84"/>
      <c r="W820" s="84"/>
      <c r="Y820" s="84"/>
      <c r="Z820" s="84"/>
      <c r="AA820" s="84"/>
      <c r="AB820" s="84"/>
      <c r="AC820" s="84"/>
      <c r="AD820" s="84"/>
      <c r="AE820" s="84"/>
      <c r="AF820" s="84"/>
      <c r="AG820" s="84"/>
      <c r="AH820" s="84"/>
      <c r="AI820" s="84"/>
      <c r="AL820" s="84"/>
      <c r="AM820" s="84"/>
      <c r="AN820" s="84"/>
      <c r="AO820" s="84"/>
      <c r="AP820" s="84"/>
      <c r="AQ820" s="84"/>
      <c r="AR820" s="84"/>
      <c r="AS820" s="84"/>
      <c r="AT820" s="84"/>
      <c r="AU820" s="84"/>
      <c r="AV820" s="84"/>
      <c r="AY820" s="84"/>
      <c r="AZ820" s="84"/>
      <c r="BA820" s="84"/>
      <c r="BB820" s="84"/>
      <c r="BC820" s="84"/>
      <c r="BD820" s="84"/>
      <c r="BE820" s="84"/>
      <c r="BF820" s="942"/>
      <c r="BG820" s="942"/>
      <c r="BH820" s="942"/>
      <c r="BI820" s="84"/>
      <c r="BL820" s="84"/>
      <c r="BM820" s="84"/>
      <c r="BN820" s="84"/>
      <c r="BO820" s="84"/>
      <c r="BP820" s="84"/>
      <c r="BQ820" s="84"/>
      <c r="BR820" s="84"/>
      <c r="BS820" s="942"/>
      <c r="BT820" s="942"/>
      <c r="BU820" s="942"/>
      <c r="BV820" s="84"/>
    </row>
    <row r="821" spans="14:74" ht="14.25">
      <c r="N821" s="84"/>
      <c r="O821" s="84"/>
      <c r="P821" s="84"/>
      <c r="Q821" s="84"/>
      <c r="R821" s="84"/>
      <c r="S821" s="84"/>
      <c r="T821" s="84"/>
      <c r="U821" s="84"/>
      <c r="V821" s="84"/>
      <c r="W821" s="84"/>
      <c r="Y821" s="84"/>
      <c r="Z821" s="84"/>
      <c r="AA821" s="84"/>
      <c r="AB821" s="84"/>
      <c r="AC821" s="84"/>
      <c r="AD821" s="84"/>
      <c r="AE821" s="84"/>
      <c r="AF821" s="84"/>
      <c r="AG821" s="84"/>
      <c r="AH821" s="84"/>
      <c r="AI821" s="84"/>
      <c r="AL821" s="84"/>
      <c r="AM821" s="84"/>
      <c r="AN821" s="84"/>
      <c r="AO821" s="84"/>
      <c r="AP821" s="84"/>
      <c r="AQ821" s="84"/>
      <c r="AR821" s="84"/>
      <c r="AS821" s="84"/>
      <c r="AT821" s="84"/>
      <c r="AU821" s="84"/>
      <c r="AV821" s="84"/>
      <c r="AY821" s="84"/>
      <c r="AZ821" s="84"/>
      <c r="BA821" s="84"/>
      <c r="BB821" s="84"/>
      <c r="BC821" s="84"/>
      <c r="BD821" s="84"/>
      <c r="BE821" s="84"/>
      <c r="BF821" s="942"/>
      <c r="BG821" s="942"/>
      <c r="BH821" s="942"/>
      <c r="BI821" s="84"/>
      <c r="BL821" s="84"/>
      <c r="BM821" s="84"/>
      <c r="BN821" s="84"/>
      <c r="BO821" s="84"/>
      <c r="BP821" s="84"/>
      <c r="BQ821" s="84"/>
      <c r="BR821" s="84"/>
      <c r="BS821" s="942"/>
      <c r="BT821" s="942"/>
      <c r="BU821" s="942"/>
      <c r="BV821" s="84"/>
    </row>
    <row r="822" spans="14:74" ht="14.25">
      <c r="N822" s="84"/>
      <c r="O822" s="84"/>
      <c r="P822" s="84"/>
      <c r="Q822" s="84"/>
      <c r="R822" s="84"/>
      <c r="S822" s="84"/>
      <c r="T822" s="84"/>
      <c r="U822" s="84"/>
      <c r="V822" s="84"/>
      <c r="W822" s="84"/>
      <c r="Y822" s="84"/>
      <c r="Z822" s="84"/>
      <c r="AA822" s="84"/>
      <c r="AB822" s="84"/>
      <c r="AC822" s="84"/>
      <c r="AD822" s="84"/>
      <c r="AE822" s="84"/>
      <c r="AF822" s="84"/>
      <c r="AG822" s="84"/>
      <c r="AH822" s="84"/>
      <c r="AI822" s="84"/>
      <c r="AL822" s="84"/>
      <c r="AM822" s="84"/>
      <c r="AN822" s="84"/>
      <c r="AO822" s="84"/>
      <c r="AP822" s="84"/>
      <c r="AQ822" s="84"/>
      <c r="AR822" s="84"/>
      <c r="AS822" s="84"/>
      <c r="AT822" s="84"/>
      <c r="AU822" s="84"/>
      <c r="AV822" s="84"/>
      <c r="AY822" s="84"/>
      <c r="AZ822" s="84"/>
      <c r="BA822" s="84"/>
      <c r="BB822" s="84"/>
      <c r="BC822" s="84"/>
      <c r="BD822" s="84"/>
      <c r="BE822" s="84"/>
      <c r="BF822" s="942"/>
      <c r="BG822" s="942"/>
      <c r="BH822" s="942"/>
      <c r="BI822" s="84"/>
      <c r="BL822" s="84"/>
      <c r="BM822" s="84"/>
      <c r="BN822" s="84"/>
      <c r="BO822" s="84"/>
      <c r="BP822" s="84"/>
      <c r="BQ822" s="84"/>
      <c r="BR822" s="84"/>
      <c r="BS822" s="942"/>
      <c r="BT822" s="942"/>
      <c r="BU822" s="942"/>
      <c r="BV822" s="84"/>
    </row>
    <row r="823" spans="14:74" ht="14.25">
      <c r="N823" s="84"/>
      <c r="O823" s="84"/>
      <c r="P823" s="84"/>
      <c r="Q823" s="84"/>
      <c r="R823" s="84"/>
      <c r="S823" s="84"/>
      <c r="T823" s="84"/>
      <c r="U823" s="84"/>
      <c r="V823" s="84"/>
      <c r="W823" s="84"/>
      <c r="Y823" s="84"/>
      <c r="Z823" s="84"/>
      <c r="AA823" s="84"/>
      <c r="AB823" s="84"/>
      <c r="AC823" s="84"/>
      <c r="AD823" s="84"/>
      <c r="AE823" s="84"/>
      <c r="AF823" s="84"/>
      <c r="AG823" s="84"/>
      <c r="AH823" s="84"/>
      <c r="AI823" s="84"/>
      <c r="AL823" s="84"/>
      <c r="AM823" s="84"/>
      <c r="AN823" s="84"/>
      <c r="AO823" s="84"/>
      <c r="AP823" s="84"/>
      <c r="AQ823" s="84"/>
      <c r="AR823" s="84"/>
      <c r="AS823" s="84"/>
      <c r="AT823" s="84"/>
      <c r="AU823" s="84"/>
      <c r="AV823" s="84"/>
      <c r="AY823" s="84"/>
      <c r="AZ823" s="84"/>
      <c r="BA823" s="84"/>
      <c r="BB823" s="84"/>
      <c r="BC823" s="84"/>
      <c r="BD823" s="84"/>
      <c r="BE823" s="84"/>
      <c r="BF823" s="942"/>
      <c r="BG823" s="942"/>
      <c r="BH823" s="942"/>
      <c r="BI823" s="84"/>
      <c r="BL823" s="84"/>
      <c r="BM823" s="84"/>
      <c r="BN823" s="84"/>
      <c r="BO823" s="84"/>
      <c r="BP823" s="84"/>
      <c r="BQ823" s="84"/>
      <c r="BR823" s="84"/>
      <c r="BS823" s="942"/>
      <c r="BT823" s="942"/>
      <c r="BU823" s="942"/>
      <c r="BV823" s="84"/>
    </row>
    <row r="824" spans="14:74" ht="14.25">
      <c r="N824" s="84"/>
      <c r="O824" s="84"/>
      <c r="P824" s="84"/>
      <c r="Q824" s="84"/>
      <c r="R824" s="84"/>
      <c r="S824" s="84"/>
      <c r="T824" s="84"/>
      <c r="U824" s="84"/>
      <c r="V824" s="84"/>
      <c r="W824" s="84"/>
      <c r="Y824" s="84"/>
      <c r="Z824" s="84"/>
      <c r="AA824" s="84"/>
      <c r="AB824" s="84"/>
      <c r="AC824" s="84"/>
      <c r="AD824" s="84"/>
      <c r="AE824" s="84"/>
      <c r="AF824" s="84"/>
      <c r="AG824" s="84"/>
      <c r="AH824" s="84"/>
      <c r="AI824" s="84"/>
      <c r="AL824" s="84"/>
      <c r="AM824" s="84"/>
      <c r="AN824" s="84"/>
      <c r="AO824" s="84"/>
      <c r="AP824" s="84"/>
      <c r="AQ824" s="84"/>
      <c r="AR824" s="84"/>
      <c r="AS824" s="84"/>
      <c r="AT824" s="84"/>
      <c r="AU824" s="84"/>
      <c r="AV824" s="84"/>
      <c r="AY824" s="84"/>
      <c r="AZ824" s="84"/>
      <c r="BA824" s="84"/>
      <c r="BB824" s="84"/>
      <c r="BC824" s="84"/>
      <c r="BD824" s="84"/>
      <c r="BE824" s="84"/>
      <c r="BF824" s="942"/>
      <c r="BG824" s="942"/>
      <c r="BH824" s="942"/>
      <c r="BI824" s="84"/>
      <c r="BL824" s="84"/>
      <c r="BM824" s="84"/>
      <c r="BN824" s="84"/>
      <c r="BO824" s="84"/>
      <c r="BP824" s="84"/>
      <c r="BQ824" s="84"/>
      <c r="BR824" s="84"/>
      <c r="BS824" s="942"/>
      <c r="BT824" s="942"/>
      <c r="BU824" s="942"/>
      <c r="BV824" s="84"/>
    </row>
    <row r="825" spans="14:74" ht="14.25">
      <c r="N825" s="84"/>
      <c r="O825" s="84"/>
      <c r="P825" s="84"/>
      <c r="Q825" s="84"/>
      <c r="R825" s="84"/>
      <c r="S825" s="84"/>
      <c r="T825" s="84"/>
      <c r="U825" s="84"/>
      <c r="V825" s="84"/>
      <c r="W825" s="84"/>
      <c r="Y825" s="84"/>
      <c r="Z825" s="84"/>
      <c r="AA825" s="84"/>
      <c r="AB825" s="84"/>
      <c r="AC825" s="84"/>
      <c r="AD825" s="84"/>
      <c r="AE825" s="84"/>
      <c r="AF825" s="84"/>
      <c r="AG825" s="84"/>
      <c r="AH825" s="84"/>
      <c r="AI825" s="84"/>
      <c r="AL825" s="84"/>
      <c r="AM825" s="84"/>
      <c r="AN825" s="84"/>
      <c r="AO825" s="84"/>
      <c r="AP825" s="84"/>
      <c r="AQ825" s="84"/>
      <c r="AR825" s="84"/>
      <c r="AS825" s="84"/>
      <c r="AT825" s="84"/>
      <c r="AU825" s="84"/>
      <c r="AV825" s="84"/>
      <c r="AY825" s="84"/>
      <c r="AZ825" s="84"/>
      <c r="BA825" s="84"/>
      <c r="BB825" s="84"/>
      <c r="BC825" s="84"/>
      <c r="BD825" s="84"/>
      <c r="BE825" s="84"/>
      <c r="BF825" s="942"/>
      <c r="BG825" s="942"/>
      <c r="BH825" s="942"/>
      <c r="BI825" s="84"/>
      <c r="BL825" s="84"/>
      <c r="BM825" s="84"/>
      <c r="BN825" s="84"/>
      <c r="BO825" s="84"/>
      <c r="BP825" s="84"/>
      <c r="BQ825" s="84"/>
      <c r="BR825" s="84"/>
      <c r="BS825" s="942"/>
      <c r="BT825" s="942"/>
      <c r="BU825" s="942"/>
      <c r="BV825" s="84"/>
    </row>
    <row r="826" spans="14:74" ht="14.25">
      <c r="N826" s="84"/>
      <c r="O826" s="84"/>
      <c r="P826" s="84"/>
      <c r="Q826" s="84"/>
      <c r="R826" s="84"/>
      <c r="S826" s="84"/>
      <c r="T826" s="84"/>
      <c r="U826" s="84"/>
      <c r="V826" s="84"/>
      <c r="W826" s="84"/>
      <c r="Y826" s="84"/>
      <c r="Z826" s="84"/>
      <c r="AA826" s="84"/>
      <c r="AB826" s="84"/>
      <c r="AC826" s="84"/>
      <c r="AD826" s="84"/>
      <c r="AE826" s="84"/>
      <c r="AF826" s="84"/>
      <c r="AG826" s="84"/>
      <c r="AH826" s="84"/>
      <c r="AI826" s="84"/>
      <c r="AL826" s="84"/>
      <c r="AM826" s="84"/>
      <c r="AN826" s="84"/>
      <c r="AO826" s="84"/>
      <c r="AP826" s="84"/>
      <c r="AQ826" s="84"/>
      <c r="AR826" s="84"/>
      <c r="AS826" s="84"/>
      <c r="AT826" s="84"/>
      <c r="AU826" s="84"/>
      <c r="AV826" s="84"/>
      <c r="AY826" s="84"/>
      <c r="AZ826" s="84"/>
      <c r="BA826" s="84"/>
      <c r="BB826" s="84"/>
      <c r="BC826" s="84"/>
      <c r="BD826" s="84"/>
      <c r="BE826" s="84"/>
      <c r="BF826" s="942"/>
      <c r="BG826" s="942"/>
      <c r="BH826" s="942"/>
      <c r="BI826" s="84"/>
      <c r="BL826" s="84"/>
      <c r="BM826" s="84"/>
      <c r="BN826" s="84"/>
      <c r="BO826" s="84"/>
      <c r="BP826" s="84"/>
      <c r="BQ826" s="84"/>
      <c r="BR826" s="84"/>
      <c r="BS826" s="942"/>
      <c r="BT826" s="942"/>
      <c r="BU826" s="942"/>
      <c r="BV826" s="84"/>
    </row>
    <row r="827" spans="14:74" ht="14.25">
      <c r="N827" s="84"/>
      <c r="O827" s="84"/>
      <c r="P827" s="84"/>
      <c r="Q827" s="84"/>
      <c r="R827" s="84"/>
      <c r="S827" s="84"/>
      <c r="T827" s="84"/>
      <c r="U827" s="84"/>
      <c r="V827" s="84"/>
      <c r="W827" s="84"/>
      <c r="Y827" s="84"/>
      <c r="Z827" s="84"/>
      <c r="AA827" s="84"/>
      <c r="AB827" s="84"/>
      <c r="AC827" s="84"/>
      <c r="AD827" s="84"/>
      <c r="AE827" s="84"/>
      <c r="AF827" s="84"/>
      <c r="AG827" s="84"/>
      <c r="AH827" s="84"/>
      <c r="AI827" s="84"/>
      <c r="AL827" s="84"/>
      <c r="AM827" s="84"/>
      <c r="AN827" s="84"/>
      <c r="AO827" s="84"/>
      <c r="AP827" s="84"/>
      <c r="AQ827" s="84"/>
      <c r="AR827" s="84"/>
      <c r="AS827" s="84"/>
      <c r="AT827" s="84"/>
      <c r="AU827" s="84"/>
      <c r="AV827" s="84"/>
      <c r="AY827" s="84"/>
      <c r="AZ827" s="84"/>
      <c r="BA827" s="84"/>
      <c r="BB827" s="84"/>
      <c r="BC827" s="84"/>
      <c r="BD827" s="84"/>
      <c r="BE827" s="84"/>
      <c r="BF827" s="942"/>
      <c r="BG827" s="942"/>
      <c r="BH827" s="942"/>
      <c r="BI827" s="84"/>
      <c r="BL827" s="84"/>
      <c r="BM827" s="84"/>
      <c r="BN827" s="84"/>
      <c r="BO827" s="84"/>
      <c r="BP827" s="84"/>
      <c r="BQ827" s="84"/>
      <c r="BR827" s="84"/>
      <c r="BS827" s="942"/>
      <c r="BT827" s="942"/>
      <c r="BU827" s="942"/>
      <c r="BV827" s="84"/>
    </row>
    <row r="828" spans="14:74" ht="14.25">
      <c r="N828" s="84"/>
      <c r="O828" s="84"/>
      <c r="P828" s="84"/>
      <c r="Q828" s="84"/>
      <c r="R828" s="84"/>
      <c r="S828" s="84"/>
      <c r="T828" s="84"/>
      <c r="U828" s="84"/>
      <c r="V828" s="84"/>
      <c r="W828" s="84"/>
      <c r="Y828" s="84"/>
      <c r="Z828" s="84"/>
      <c r="AA828" s="84"/>
      <c r="AB828" s="84"/>
      <c r="AC828" s="84"/>
      <c r="AD828" s="84"/>
      <c r="AE828" s="84"/>
      <c r="AF828" s="84"/>
      <c r="AG828" s="84"/>
      <c r="AH828" s="84"/>
      <c r="AI828" s="84"/>
      <c r="AL828" s="84"/>
      <c r="AM828" s="84"/>
      <c r="AN828" s="84"/>
      <c r="AO828" s="84"/>
      <c r="AP828" s="84"/>
      <c r="AQ828" s="84"/>
      <c r="AR828" s="84"/>
      <c r="AS828" s="84"/>
      <c r="AT828" s="84"/>
      <c r="AU828" s="84"/>
      <c r="AV828" s="84"/>
      <c r="AY828" s="84"/>
      <c r="AZ828" s="84"/>
      <c r="BA828" s="84"/>
      <c r="BB828" s="84"/>
      <c r="BC828" s="84"/>
      <c r="BD828" s="84"/>
      <c r="BE828" s="84"/>
      <c r="BF828" s="942"/>
      <c r="BG828" s="942"/>
      <c r="BH828" s="942"/>
      <c r="BI828" s="84"/>
      <c r="BL828" s="84"/>
      <c r="BM828" s="84"/>
      <c r="BN828" s="84"/>
      <c r="BO828" s="84"/>
      <c r="BP828" s="84"/>
      <c r="BQ828" s="84"/>
      <c r="BR828" s="84"/>
      <c r="BS828" s="942"/>
      <c r="BT828" s="942"/>
      <c r="BU828" s="942"/>
      <c r="BV828" s="84"/>
    </row>
    <row r="829" spans="14:74" ht="14.25">
      <c r="N829" s="84"/>
      <c r="O829" s="84"/>
      <c r="P829" s="84"/>
      <c r="Q829" s="84"/>
      <c r="R829" s="84"/>
      <c r="S829" s="84"/>
      <c r="T829" s="84"/>
      <c r="U829" s="84"/>
      <c r="V829" s="84"/>
      <c r="W829" s="84"/>
      <c r="Y829" s="84"/>
      <c r="Z829" s="84"/>
      <c r="AA829" s="84"/>
      <c r="AB829" s="84"/>
      <c r="AC829" s="84"/>
      <c r="AD829" s="84"/>
      <c r="AE829" s="84"/>
      <c r="AF829" s="84"/>
      <c r="AG829" s="84"/>
      <c r="AH829" s="84"/>
      <c r="AI829" s="84"/>
      <c r="AL829" s="84"/>
      <c r="AM829" s="84"/>
      <c r="AN829" s="84"/>
      <c r="AO829" s="84"/>
      <c r="AP829" s="84"/>
      <c r="AQ829" s="84"/>
      <c r="AR829" s="84"/>
      <c r="AS829" s="84"/>
      <c r="AT829" s="84"/>
      <c r="AU829" s="84"/>
      <c r="AV829" s="84"/>
      <c r="AY829" s="84"/>
      <c r="AZ829" s="84"/>
      <c r="BA829" s="84"/>
      <c r="BB829" s="84"/>
      <c r="BC829" s="84"/>
      <c r="BD829" s="84"/>
      <c r="BE829" s="84"/>
      <c r="BF829" s="942"/>
      <c r="BG829" s="942"/>
      <c r="BH829" s="942"/>
      <c r="BI829" s="84"/>
      <c r="BL829" s="84"/>
      <c r="BM829" s="84"/>
      <c r="BN829" s="84"/>
      <c r="BO829" s="84"/>
      <c r="BP829" s="84"/>
      <c r="BQ829" s="84"/>
      <c r="BR829" s="84"/>
      <c r="BS829" s="942"/>
      <c r="BT829" s="942"/>
      <c r="BU829" s="942"/>
      <c r="BV829" s="84"/>
    </row>
    <row r="830" spans="14:74" ht="14.25">
      <c r="N830" s="84"/>
      <c r="O830" s="84"/>
      <c r="P830" s="84"/>
      <c r="Q830" s="84"/>
      <c r="R830" s="84"/>
      <c r="S830" s="84"/>
      <c r="T830" s="84"/>
      <c r="U830" s="84"/>
      <c r="V830" s="84"/>
      <c r="W830" s="84"/>
      <c r="Y830" s="84"/>
      <c r="Z830" s="84"/>
      <c r="AA830" s="84"/>
      <c r="AB830" s="84"/>
      <c r="AC830" s="84"/>
      <c r="AD830" s="84"/>
      <c r="AE830" s="84"/>
      <c r="AF830" s="84"/>
      <c r="AG830" s="84"/>
      <c r="AH830" s="84"/>
      <c r="AI830" s="84"/>
      <c r="AL830" s="84"/>
      <c r="AM830" s="84"/>
      <c r="AN830" s="84"/>
      <c r="AO830" s="84"/>
      <c r="AP830" s="84"/>
      <c r="AQ830" s="84"/>
      <c r="AR830" s="84"/>
      <c r="AS830" s="84"/>
      <c r="AT830" s="84"/>
      <c r="AU830" s="84"/>
      <c r="AV830" s="84"/>
      <c r="AY830" s="84"/>
      <c r="AZ830" s="84"/>
      <c r="BA830" s="84"/>
      <c r="BB830" s="84"/>
      <c r="BC830" s="84"/>
      <c r="BD830" s="84"/>
      <c r="BE830" s="84"/>
      <c r="BF830" s="942"/>
      <c r="BG830" s="942"/>
      <c r="BH830" s="942"/>
      <c r="BI830" s="84"/>
      <c r="BL830" s="84"/>
      <c r="BM830" s="84"/>
      <c r="BN830" s="84"/>
      <c r="BO830" s="84"/>
      <c r="BP830" s="84"/>
      <c r="BQ830" s="84"/>
      <c r="BR830" s="84"/>
      <c r="BS830" s="942"/>
      <c r="BT830" s="942"/>
      <c r="BU830" s="942"/>
      <c r="BV830" s="84"/>
    </row>
    <row r="831" spans="14:74" ht="14.25">
      <c r="N831" s="84"/>
      <c r="O831" s="84"/>
      <c r="P831" s="84"/>
      <c r="Q831" s="84"/>
      <c r="R831" s="84"/>
      <c r="S831" s="84"/>
      <c r="T831" s="84"/>
      <c r="U831" s="84"/>
      <c r="V831" s="84"/>
      <c r="W831" s="84"/>
      <c r="Y831" s="84"/>
      <c r="Z831" s="84"/>
      <c r="AA831" s="84"/>
      <c r="AB831" s="84"/>
      <c r="AC831" s="84"/>
      <c r="AD831" s="84"/>
      <c r="AE831" s="84"/>
      <c r="AF831" s="84"/>
      <c r="AG831" s="84"/>
      <c r="AH831" s="84"/>
      <c r="AI831" s="84"/>
      <c r="AL831" s="84"/>
      <c r="AM831" s="84"/>
      <c r="AN831" s="84"/>
      <c r="AO831" s="84"/>
      <c r="AP831" s="84"/>
      <c r="AQ831" s="84"/>
      <c r="AR831" s="84"/>
      <c r="AS831" s="84"/>
      <c r="AT831" s="84"/>
      <c r="AU831" s="84"/>
      <c r="AV831" s="84"/>
      <c r="AY831" s="84"/>
      <c r="AZ831" s="84"/>
      <c r="BA831" s="84"/>
      <c r="BB831" s="84"/>
      <c r="BC831" s="84"/>
      <c r="BD831" s="84"/>
      <c r="BE831" s="84"/>
      <c r="BF831" s="942"/>
      <c r="BG831" s="942"/>
      <c r="BH831" s="942"/>
      <c r="BI831" s="84"/>
      <c r="BL831" s="84"/>
      <c r="BM831" s="84"/>
      <c r="BN831" s="84"/>
      <c r="BO831" s="84"/>
      <c r="BP831" s="84"/>
      <c r="BQ831" s="84"/>
      <c r="BR831" s="84"/>
      <c r="BS831" s="942"/>
      <c r="BT831" s="942"/>
      <c r="BU831" s="942"/>
      <c r="BV831" s="84"/>
    </row>
    <row r="832" spans="14:74" ht="14.25">
      <c r="N832" s="84"/>
      <c r="O832" s="84"/>
      <c r="P832" s="84"/>
      <c r="Q832" s="84"/>
      <c r="R832" s="84"/>
      <c r="S832" s="84"/>
      <c r="T832" s="84"/>
      <c r="U832" s="84"/>
      <c r="V832" s="84"/>
      <c r="W832" s="84"/>
      <c r="Y832" s="84"/>
      <c r="Z832" s="84"/>
      <c r="AA832" s="84"/>
      <c r="AB832" s="84"/>
      <c r="AC832" s="84"/>
      <c r="AD832" s="84"/>
      <c r="AE832" s="84"/>
      <c r="AF832" s="84"/>
      <c r="AG832" s="84"/>
      <c r="AH832" s="84"/>
      <c r="AI832" s="84"/>
      <c r="AL832" s="84"/>
      <c r="AM832" s="84"/>
      <c r="AN832" s="84"/>
      <c r="AO832" s="84"/>
      <c r="AP832" s="84"/>
      <c r="AQ832" s="84"/>
      <c r="AR832" s="84"/>
      <c r="AS832" s="84"/>
      <c r="AT832" s="84"/>
      <c r="AU832" s="84"/>
      <c r="AV832" s="84"/>
      <c r="AY832" s="84"/>
      <c r="AZ832" s="84"/>
      <c r="BA832" s="84"/>
      <c r="BB832" s="84"/>
      <c r="BC832" s="84"/>
      <c r="BD832" s="84"/>
      <c r="BE832" s="84"/>
      <c r="BF832" s="942"/>
      <c r="BG832" s="942"/>
      <c r="BH832" s="942"/>
      <c r="BI832" s="84"/>
      <c r="BL832" s="84"/>
      <c r="BM832" s="84"/>
      <c r="BN832" s="84"/>
      <c r="BO832" s="84"/>
      <c r="BP832" s="84"/>
      <c r="BQ832" s="84"/>
      <c r="BR832" s="84"/>
      <c r="BS832" s="942"/>
      <c r="BT832" s="942"/>
      <c r="BU832" s="942"/>
      <c r="BV832" s="84"/>
    </row>
    <row r="833" spans="14:74" ht="14.25">
      <c r="N833" s="84"/>
      <c r="O833" s="84"/>
      <c r="P833" s="84"/>
      <c r="Q833" s="84"/>
      <c r="R833" s="84"/>
      <c r="S833" s="84"/>
      <c r="T833" s="84"/>
      <c r="U833" s="84"/>
      <c r="V833" s="84"/>
      <c r="W833" s="84"/>
      <c r="Y833" s="84"/>
      <c r="Z833" s="84"/>
      <c r="AA833" s="84"/>
      <c r="AB833" s="84"/>
      <c r="AC833" s="84"/>
      <c r="AD833" s="84"/>
      <c r="AE833" s="84"/>
      <c r="AF833" s="84"/>
      <c r="AG833" s="84"/>
      <c r="AH833" s="84"/>
      <c r="AI833" s="84"/>
      <c r="AL833" s="84"/>
      <c r="AM833" s="84"/>
      <c r="AN833" s="84"/>
      <c r="AO833" s="84"/>
      <c r="AP833" s="84"/>
      <c r="AQ833" s="84"/>
      <c r="AR833" s="84"/>
      <c r="AS833" s="84"/>
      <c r="AT833" s="84"/>
      <c r="AU833" s="84"/>
      <c r="AV833" s="84"/>
      <c r="AY833" s="84"/>
      <c r="AZ833" s="84"/>
      <c r="BA833" s="84"/>
      <c r="BB833" s="84"/>
      <c r="BC833" s="84"/>
      <c r="BD833" s="84"/>
      <c r="BE833" s="84"/>
      <c r="BF833" s="942"/>
      <c r="BG833" s="942"/>
      <c r="BH833" s="942"/>
      <c r="BI833" s="84"/>
      <c r="BL833" s="84"/>
      <c r="BM833" s="84"/>
      <c r="BN833" s="84"/>
      <c r="BO833" s="84"/>
      <c r="BP833" s="84"/>
      <c r="BQ833" s="84"/>
      <c r="BR833" s="84"/>
      <c r="BS833" s="942"/>
      <c r="BT833" s="942"/>
      <c r="BU833" s="942"/>
      <c r="BV833" s="84"/>
    </row>
    <row r="834" spans="14:74" ht="14.25">
      <c r="N834" s="84"/>
      <c r="O834" s="84"/>
      <c r="P834" s="84"/>
      <c r="Q834" s="84"/>
      <c r="R834" s="84"/>
      <c r="S834" s="84"/>
      <c r="T834" s="84"/>
      <c r="U834" s="84"/>
      <c r="V834" s="84"/>
      <c r="W834" s="84"/>
      <c r="Y834" s="84"/>
      <c r="Z834" s="84"/>
      <c r="AA834" s="84"/>
      <c r="AB834" s="84"/>
      <c r="AC834" s="84"/>
      <c r="AD834" s="84"/>
      <c r="AE834" s="84"/>
      <c r="AF834" s="84"/>
      <c r="AG834" s="84"/>
      <c r="AH834" s="84"/>
      <c r="AI834" s="84"/>
      <c r="AL834" s="84"/>
      <c r="AM834" s="84"/>
      <c r="AN834" s="84"/>
      <c r="AO834" s="84"/>
      <c r="AP834" s="84"/>
      <c r="AQ834" s="84"/>
      <c r="AR834" s="84"/>
      <c r="AS834" s="84"/>
      <c r="AT834" s="84"/>
      <c r="AU834" s="84"/>
      <c r="AV834" s="84"/>
      <c r="AY834" s="84"/>
      <c r="AZ834" s="84"/>
      <c r="BA834" s="84"/>
      <c r="BB834" s="84"/>
      <c r="BC834" s="84"/>
      <c r="BD834" s="84"/>
      <c r="BE834" s="84"/>
      <c r="BF834" s="942"/>
      <c r="BG834" s="942"/>
      <c r="BH834" s="942"/>
      <c r="BI834" s="84"/>
      <c r="BL834" s="84"/>
      <c r="BM834" s="84"/>
      <c r="BN834" s="84"/>
      <c r="BO834" s="84"/>
      <c r="BP834" s="84"/>
      <c r="BQ834" s="84"/>
      <c r="BR834" s="84"/>
      <c r="BS834" s="942"/>
      <c r="BT834" s="942"/>
      <c r="BU834" s="942"/>
      <c r="BV834" s="84"/>
    </row>
    <row r="835" spans="14:74" ht="14.25">
      <c r="N835" s="84"/>
      <c r="O835" s="84"/>
      <c r="P835" s="84"/>
      <c r="Q835" s="84"/>
      <c r="R835" s="84"/>
      <c r="S835" s="84"/>
      <c r="T835" s="84"/>
      <c r="U835" s="84"/>
      <c r="V835" s="84"/>
      <c r="W835" s="84"/>
      <c r="Y835" s="84"/>
      <c r="Z835" s="84"/>
      <c r="AA835" s="84"/>
      <c r="AB835" s="84"/>
      <c r="AC835" s="84"/>
      <c r="AD835" s="84"/>
      <c r="AE835" s="84"/>
      <c r="AF835" s="84"/>
      <c r="AG835" s="84"/>
      <c r="AH835" s="84"/>
      <c r="AI835" s="84"/>
      <c r="AL835" s="84"/>
      <c r="AM835" s="84"/>
      <c r="AN835" s="84"/>
      <c r="AO835" s="84"/>
      <c r="AP835" s="84"/>
      <c r="AQ835" s="84"/>
      <c r="AR835" s="84"/>
      <c r="AS835" s="84"/>
      <c r="AT835" s="84"/>
      <c r="AU835" s="84"/>
      <c r="AV835" s="84"/>
      <c r="AY835" s="84"/>
      <c r="AZ835" s="84"/>
      <c r="BA835" s="84"/>
      <c r="BB835" s="84"/>
      <c r="BC835" s="84"/>
      <c r="BD835" s="84"/>
      <c r="BE835" s="84"/>
      <c r="BF835" s="942"/>
      <c r="BG835" s="942"/>
      <c r="BH835" s="942"/>
      <c r="BI835" s="84"/>
      <c r="BL835" s="84"/>
      <c r="BM835" s="84"/>
      <c r="BN835" s="84"/>
      <c r="BO835" s="84"/>
      <c r="BP835" s="84"/>
      <c r="BQ835" s="84"/>
      <c r="BR835" s="84"/>
      <c r="BS835" s="942"/>
      <c r="BT835" s="942"/>
      <c r="BU835" s="942"/>
      <c r="BV835" s="84"/>
    </row>
    <row r="836" spans="14:74" ht="14.25">
      <c r="N836" s="84"/>
      <c r="O836" s="84"/>
      <c r="P836" s="84"/>
      <c r="Q836" s="84"/>
      <c r="R836" s="84"/>
      <c r="S836" s="84"/>
      <c r="T836" s="84"/>
      <c r="U836" s="84"/>
      <c r="V836" s="84"/>
      <c r="W836" s="84"/>
      <c r="Y836" s="84"/>
      <c r="Z836" s="84"/>
      <c r="AA836" s="84"/>
      <c r="AB836" s="84"/>
      <c r="AC836" s="84"/>
      <c r="AD836" s="84"/>
      <c r="AE836" s="84"/>
      <c r="AF836" s="84"/>
      <c r="AG836" s="84"/>
      <c r="AH836" s="84"/>
      <c r="AI836" s="84"/>
      <c r="AL836" s="84"/>
      <c r="AM836" s="84"/>
      <c r="AN836" s="84"/>
      <c r="AO836" s="84"/>
      <c r="AP836" s="84"/>
      <c r="AQ836" s="84"/>
      <c r="AR836" s="84"/>
      <c r="AS836" s="84"/>
      <c r="AT836" s="84"/>
      <c r="AU836" s="84"/>
      <c r="AV836" s="84"/>
      <c r="AY836" s="84"/>
      <c r="AZ836" s="84"/>
      <c r="BA836" s="84"/>
      <c r="BB836" s="84"/>
      <c r="BC836" s="84"/>
      <c r="BD836" s="84"/>
      <c r="BE836" s="84"/>
      <c r="BF836" s="942"/>
      <c r="BG836" s="942"/>
      <c r="BH836" s="942"/>
      <c r="BI836" s="84"/>
      <c r="BL836" s="84"/>
      <c r="BM836" s="84"/>
      <c r="BN836" s="84"/>
      <c r="BO836" s="84"/>
      <c r="BP836" s="84"/>
      <c r="BQ836" s="84"/>
      <c r="BR836" s="84"/>
      <c r="BS836" s="942"/>
      <c r="BT836" s="942"/>
      <c r="BU836" s="942"/>
      <c r="BV836" s="84"/>
    </row>
    <row r="837" spans="14:74" ht="14.25">
      <c r="N837" s="84"/>
      <c r="O837" s="84"/>
      <c r="P837" s="84"/>
      <c r="Q837" s="84"/>
      <c r="R837" s="84"/>
      <c r="S837" s="84"/>
      <c r="T837" s="84"/>
      <c r="U837" s="84"/>
      <c r="V837" s="84"/>
      <c r="W837" s="84"/>
      <c r="Y837" s="84"/>
      <c r="Z837" s="84"/>
      <c r="AA837" s="84"/>
      <c r="AB837" s="84"/>
      <c r="AC837" s="84"/>
      <c r="AD837" s="84"/>
      <c r="AE837" s="84"/>
      <c r="AF837" s="84"/>
      <c r="AG837" s="84"/>
      <c r="AH837" s="84"/>
      <c r="AI837" s="84"/>
      <c r="AL837" s="84"/>
      <c r="AM837" s="84"/>
      <c r="AN837" s="84"/>
      <c r="AO837" s="84"/>
      <c r="AP837" s="84"/>
      <c r="AQ837" s="84"/>
      <c r="AR837" s="84"/>
      <c r="AS837" s="84"/>
      <c r="AT837" s="84"/>
      <c r="AU837" s="84"/>
      <c r="AV837" s="84"/>
      <c r="AY837" s="84"/>
      <c r="AZ837" s="84"/>
      <c r="BA837" s="84"/>
      <c r="BB837" s="84"/>
      <c r="BC837" s="84"/>
      <c r="BD837" s="84"/>
      <c r="BE837" s="84"/>
      <c r="BF837" s="942"/>
      <c r="BG837" s="942"/>
      <c r="BH837" s="942"/>
      <c r="BI837" s="84"/>
      <c r="BL837" s="84"/>
      <c r="BM837" s="84"/>
      <c r="BN837" s="84"/>
      <c r="BO837" s="84"/>
      <c r="BP837" s="84"/>
      <c r="BQ837" s="84"/>
      <c r="BR837" s="84"/>
      <c r="BS837" s="942"/>
      <c r="BT837" s="942"/>
      <c r="BU837" s="942"/>
      <c r="BV837" s="84"/>
    </row>
    <row r="838" spans="14:74" ht="14.25">
      <c r="N838" s="84"/>
      <c r="O838" s="84"/>
      <c r="P838" s="84"/>
      <c r="Q838" s="84"/>
      <c r="R838" s="84"/>
      <c r="S838" s="84"/>
      <c r="T838" s="84"/>
      <c r="U838" s="84"/>
      <c r="V838" s="84"/>
      <c r="W838" s="84"/>
      <c r="Y838" s="84"/>
      <c r="Z838" s="84"/>
      <c r="AA838" s="84"/>
      <c r="AB838" s="84"/>
      <c r="AC838" s="84"/>
      <c r="AD838" s="84"/>
      <c r="AE838" s="84"/>
      <c r="AF838" s="84"/>
      <c r="AG838" s="84"/>
      <c r="AH838" s="84"/>
      <c r="AI838" s="84"/>
      <c r="AL838" s="84"/>
      <c r="AM838" s="84"/>
      <c r="AN838" s="84"/>
      <c r="AO838" s="84"/>
      <c r="AP838" s="84"/>
      <c r="AQ838" s="84"/>
      <c r="AR838" s="84"/>
      <c r="AS838" s="84"/>
      <c r="AT838" s="84"/>
      <c r="AU838" s="84"/>
      <c r="AV838" s="84"/>
      <c r="AY838" s="84"/>
      <c r="AZ838" s="84"/>
      <c r="BA838" s="84"/>
      <c r="BB838" s="84"/>
      <c r="BC838" s="84"/>
      <c r="BD838" s="84"/>
      <c r="BE838" s="84"/>
      <c r="BF838" s="942"/>
      <c r="BG838" s="942"/>
      <c r="BH838" s="942"/>
      <c r="BI838" s="84"/>
      <c r="BL838" s="84"/>
      <c r="BM838" s="84"/>
      <c r="BN838" s="84"/>
      <c r="BO838" s="84"/>
      <c r="BP838" s="84"/>
      <c r="BQ838" s="84"/>
      <c r="BR838" s="84"/>
      <c r="BS838" s="942"/>
      <c r="BT838" s="942"/>
      <c r="BU838" s="942"/>
      <c r="BV838" s="84"/>
    </row>
    <row r="839" spans="14:74" ht="14.25">
      <c r="N839" s="84"/>
      <c r="O839" s="84"/>
      <c r="P839" s="84"/>
      <c r="Q839" s="84"/>
      <c r="R839" s="84"/>
      <c r="S839" s="84"/>
      <c r="T839" s="84"/>
      <c r="U839" s="84"/>
      <c r="V839" s="84"/>
      <c r="W839" s="84"/>
      <c r="Y839" s="84"/>
      <c r="Z839" s="84"/>
      <c r="AA839" s="84"/>
      <c r="AB839" s="84"/>
      <c r="AC839" s="84"/>
      <c r="AD839" s="84"/>
      <c r="AE839" s="84"/>
      <c r="AF839" s="84"/>
      <c r="AG839" s="84"/>
      <c r="AH839" s="84"/>
      <c r="AI839" s="84"/>
      <c r="AL839" s="84"/>
      <c r="AM839" s="84"/>
      <c r="AN839" s="84"/>
      <c r="AO839" s="84"/>
      <c r="AP839" s="84"/>
      <c r="AQ839" s="84"/>
      <c r="AR839" s="84"/>
      <c r="AS839" s="84"/>
      <c r="AT839" s="84"/>
      <c r="AU839" s="84"/>
      <c r="AV839" s="84"/>
      <c r="AY839" s="84"/>
      <c r="AZ839" s="84"/>
      <c r="BA839" s="84"/>
      <c r="BB839" s="84"/>
      <c r="BC839" s="84"/>
      <c r="BD839" s="84"/>
      <c r="BE839" s="84"/>
      <c r="BF839" s="942"/>
      <c r="BG839" s="942"/>
      <c r="BH839" s="942"/>
      <c r="BI839" s="84"/>
      <c r="BL839" s="84"/>
      <c r="BM839" s="84"/>
      <c r="BN839" s="84"/>
      <c r="BO839" s="84"/>
      <c r="BP839" s="84"/>
      <c r="BQ839" s="84"/>
      <c r="BR839" s="84"/>
      <c r="BS839" s="942"/>
      <c r="BT839" s="942"/>
      <c r="BU839" s="942"/>
      <c r="BV839" s="84"/>
    </row>
    <row r="840" spans="14:74" ht="14.25">
      <c r="N840" s="84"/>
      <c r="O840" s="84"/>
      <c r="P840" s="84"/>
      <c r="Q840" s="84"/>
      <c r="R840" s="84"/>
      <c r="S840" s="84"/>
      <c r="T840" s="84"/>
      <c r="U840" s="84"/>
      <c r="V840" s="84"/>
      <c r="W840" s="84"/>
      <c r="Y840" s="84"/>
      <c r="Z840" s="84"/>
      <c r="AA840" s="84"/>
      <c r="AB840" s="84"/>
      <c r="AC840" s="84"/>
      <c r="AD840" s="84"/>
      <c r="AE840" s="84"/>
      <c r="AF840" s="84"/>
      <c r="AG840" s="84"/>
      <c r="AH840" s="84"/>
      <c r="AI840" s="84"/>
      <c r="AL840" s="84"/>
      <c r="AM840" s="84"/>
      <c r="AN840" s="84"/>
      <c r="AO840" s="84"/>
      <c r="AP840" s="84"/>
      <c r="AQ840" s="84"/>
      <c r="AR840" s="84"/>
      <c r="AS840" s="84"/>
      <c r="AT840" s="84"/>
      <c r="AU840" s="84"/>
      <c r="AV840" s="84"/>
      <c r="AY840" s="84"/>
      <c r="AZ840" s="84"/>
      <c r="BA840" s="84"/>
      <c r="BB840" s="84"/>
      <c r="BC840" s="84"/>
      <c r="BD840" s="84"/>
      <c r="BE840" s="84"/>
      <c r="BF840" s="942"/>
      <c r="BG840" s="942"/>
      <c r="BH840" s="942"/>
      <c r="BI840" s="84"/>
      <c r="BL840" s="84"/>
      <c r="BM840" s="84"/>
      <c r="BN840" s="84"/>
      <c r="BO840" s="84"/>
      <c r="BP840" s="84"/>
      <c r="BQ840" s="84"/>
      <c r="BR840" s="84"/>
      <c r="BS840" s="942"/>
      <c r="BT840" s="942"/>
      <c r="BU840" s="942"/>
      <c r="BV840" s="84"/>
    </row>
    <row r="841" spans="14:74" ht="14.25">
      <c r="N841" s="84"/>
      <c r="O841" s="84"/>
      <c r="P841" s="84"/>
      <c r="Q841" s="84"/>
      <c r="R841" s="84"/>
      <c r="S841" s="84"/>
      <c r="T841" s="84"/>
      <c r="U841" s="84"/>
      <c r="V841" s="84"/>
      <c r="W841" s="84"/>
      <c r="Y841" s="84"/>
      <c r="Z841" s="84"/>
      <c r="AA841" s="84"/>
      <c r="AB841" s="84"/>
      <c r="AC841" s="84"/>
      <c r="AD841" s="84"/>
      <c r="AE841" s="84"/>
      <c r="AF841" s="84"/>
      <c r="AG841" s="84"/>
      <c r="AH841" s="84"/>
      <c r="AI841" s="84"/>
      <c r="AL841" s="84"/>
      <c r="AM841" s="84"/>
      <c r="AN841" s="84"/>
      <c r="AO841" s="84"/>
      <c r="AP841" s="84"/>
      <c r="AQ841" s="84"/>
      <c r="AR841" s="84"/>
      <c r="AS841" s="84"/>
      <c r="AT841" s="84"/>
      <c r="AU841" s="84"/>
      <c r="AV841" s="84"/>
      <c r="AY841" s="84"/>
      <c r="AZ841" s="84"/>
      <c r="BA841" s="84"/>
      <c r="BB841" s="84"/>
      <c r="BC841" s="84"/>
      <c r="BD841" s="84"/>
      <c r="BE841" s="84"/>
      <c r="BF841" s="942"/>
      <c r="BG841" s="942"/>
      <c r="BH841" s="942"/>
      <c r="BI841" s="84"/>
      <c r="BL841" s="84"/>
      <c r="BM841" s="84"/>
      <c r="BN841" s="84"/>
      <c r="BO841" s="84"/>
      <c r="BP841" s="84"/>
      <c r="BQ841" s="84"/>
      <c r="BR841" s="84"/>
      <c r="BS841" s="942"/>
      <c r="BT841" s="942"/>
      <c r="BU841" s="942"/>
      <c r="BV841" s="84"/>
    </row>
    <row r="842" spans="14:74" ht="14.25">
      <c r="N842" s="84"/>
      <c r="O842" s="84"/>
      <c r="P842" s="84"/>
      <c r="Q842" s="84"/>
      <c r="R842" s="84"/>
      <c r="S842" s="84"/>
      <c r="T842" s="84"/>
      <c r="U842" s="84"/>
      <c r="V842" s="84"/>
      <c r="W842" s="84"/>
      <c r="Y842" s="84"/>
      <c r="Z842" s="84"/>
      <c r="AA842" s="84"/>
      <c r="AB842" s="84"/>
      <c r="AC842" s="84"/>
      <c r="AD842" s="84"/>
      <c r="AE842" s="84"/>
      <c r="AF842" s="84"/>
      <c r="AG842" s="84"/>
      <c r="AH842" s="84"/>
      <c r="AI842" s="84"/>
      <c r="AL842" s="84"/>
      <c r="AM842" s="84"/>
      <c r="AN842" s="84"/>
      <c r="AO842" s="84"/>
      <c r="AP842" s="84"/>
      <c r="AQ842" s="84"/>
      <c r="AR842" s="84"/>
      <c r="AS842" s="84"/>
      <c r="AT842" s="84"/>
      <c r="AU842" s="84"/>
      <c r="AV842" s="84"/>
      <c r="AY842" s="84"/>
      <c r="AZ842" s="84"/>
      <c r="BA842" s="84"/>
      <c r="BB842" s="84"/>
      <c r="BC842" s="84"/>
      <c r="BD842" s="84"/>
      <c r="BE842" s="84"/>
      <c r="BF842" s="942"/>
      <c r="BG842" s="942"/>
      <c r="BH842" s="942"/>
      <c r="BI842" s="84"/>
      <c r="BL842" s="84"/>
      <c r="BM842" s="84"/>
      <c r="BN842" s="84"/>
      <c r="BO842" s="84"/>
      <c r="BP842" s="84"/>
      <c r="BQ842" s="84"/>
      <c r="BR842" s="84"/>
      <c r="BS842" s="942"/>
      <c r="BT842" s="942"/>
      <c r="BU842" s="942"/>
      <c r="BV842" s="84"/>
    </row>
    <row r="843" spans="14:74" ht="14.25">
      <c r="N843" s="84"/>
      <c r="O843" s="84"/>
      <c r="P843" s="84"/>
      <c r="Q843" s="84"/>
      <c r="R843" s="84"/>
      <c r="S843" s="84"/>
      <c r="T843" s="84"/>
      <c r="U843" s="84"/>
      <c r="V843" s="84"/>
      <c r="W843" s="84"/>
      <c r="Y843" s="84"/>
      <c r="Z843" s="84"/>
      <c r="AA843" s="84"/>
      <c r="AB843" s="84"/>
      <c r="AC843" s="84"/>
      <c r="AD843" s="84"/>
      <c r="AE843" s="84"/>
      <c r="AF843" s="84"/>
      <c r="AG843" s="84"/>
      <c r="AH843" s="84"/>
      <c r="AI843" s="84"/>
      <c r="AL843" s="84"/>
      <c r="AM843" s="84"/>
      <c r="AN843" s="84"/>
      <c r="AO843" s="84"/>
      <c r="AP843" s="84"/>
      <c r="AQ843" s="84"/>
      <c r="AR843" s="84"/>
      <c r="AS843" s="84"/>
      <c r="AT843" s="84"/>
      <c r="AU843" s="84"/>
      <c r="AV843" s="84"/>
      <c r="AY843" s="84"/>
      <c r="AZ843" s="84"/>
      <c r="BA843" s="84"/>
      <c r="BB843" s="84"/>
      <c r="BC843" s="84"/>
      <c r="BD843" s="84"/>
      <c r="BE843" s="84"/>
      <c r="BF843" s="942"/>
      <c r="BG843" s="942"/>
      <c r="BH843" s="942"/>
      <c r="BI843" s="84"/>
      <c r="BL843" s="84"/>
      <c r="BM843" s="84"/>
      <c r="BN843" s="84"/>
      <c r="BO843" s="84"/>
      <c r="BP843" s="84"/>
      <c r="BQ843" s="84"/>
      <c r="BR843" s="84"/>
      <c r="BS843" s="942"/>
      <c r="BT843" s="942"/>
      <c r="BU843" s="942"/>
      <c r="BV843" s="84"/>
    </row>
    <row r="844" spans="14:74" ht="14.25">
      <c r="N844" s="84"/>
      <c r="O844" s="84"/>
      <c r="P844" s="84"/>
      <c r="Q844" s="84"/>
      <c r="R844" s="84"/>
      <c r="S844" s="84"/>
      <c r="T844" s="84"/>
      <c r="U844" s="84"/>
      <c r="V844" s="84"/>
      <c r="W844" s="84"/>
      <c r="Y844" s="84"/>
      <c r="Z844" s="84"/>
      <c r="AA844" s="84"/>
      <c r="AB844" s="84"/>
      <c r="AC844" s="84"/>
      <c r="AD844" s="84"/>
      <c r="AE844" s="84"/>
      <c r="AF844" s="84"/>
      <c r="AG844" s="84"/>
      <c r="AH844" s="84"/>
      <c r="AI844" s="84"/>
      <c r="AL844" s="84"/>
      <c r="AM844" s="84"/>
      <c r="AN844" s="84"/>
      <c r="AO844" s="84"/>
      <c r="AP844" s="84"/>
      <c r="AQ844" s="84"/>
      <c r="AR844" s="84"/>
      <c r="AS844" s="84"/>
      <c r="AT844" s="84"/>
      <c r="AU844" s="84"/>
      <c r="AV844" s="84"/>
      <c r="AY844" s="84"/>
      <c r="AZ844" s="84"/>
      <c r="BA844" s="84"/>
      <c r="BB844" s="84"/>
      <c r="BC844" s="84"/>
      <c r="BD844" s="84"/>
      <c r="BE844" s="84"/>
      <c r="BF844" s="942"/>
      <c r="BG844" s="942"/>
      <c r="BH844" s="942"/>
      <c r="BI844" s="84"/>
      <c r="BL844" s="84"/>
      <c r="BM844" s="84"/>
      <c r="BN844" s="84"/>
      <c r="BO844" s="84"/>
      <c r="BP844" s="84"/>
      <c r="BQ844" s="84"/>
      <c r="BR844" s="84"/>
      <c r="BS844" s="942"/>
      <c r="BT844" s="942"/>
      <c r="BU844" s="942"/>
      <c r="BV844" s="84"/>
    </row>
    <row r="845" spans="14:74" ht="14.25">
      <c r="N845" s="84"/>
      <c r="O845" s="84"/>
      <c r="P845" s="84"/>
      <c r="Q845" s="84"/>
      <c r="R845" s="84"/>
      <c r="S845" s="84"/>
      <c r="T845" s="84"/>
      <c r="U845" s="84"/>
      <c r="V845" s="84"/>
      <c r="W845" s="84"/>
      <c r="Y845" s="84"/>
      <c r="Z845" s="84"/>
      <c r="AA845" s="84"/>
      <c r="AB845" s="84"/>
      <c r="AC845" s="84"/>
      <c r="AD845" s="84"/>
      <c r="AE845" s="84"/>
      <c r="AF845" s="84"/>
      <c r="AG845" s="84"/>
      <c r="AH845" s="84"/>
      <c r="AI845" s="84"/>
      <c r="AL845" s="84"/>
      <c r="AM845" s="84"/>
      <c r="AN845" s="84"/>
      <c r="AO845" s="84"/>
      <c r="AP845" s="84"/>
      <c r="AQ845" s="84"/>
      <c r="AR845" s="84"/>
      <c r="AS845" s="84"/>
      <c r="AT845" s="84"/>
      <c r="AU845" s="84"/>
      <c r="AV845" s="84"/>
      <c r="AY845" s="84"/>
      <c r="AZ845" s="84"/>
      <c r="BA845" s="84"/>
      <c r="BB845" s="84"/>
      <c r="BC845" s="84"/>
      <c r="BD845" s="84"/>
      <c r="BE845" s="84"/>
      <c r="BF845" s="942"/>
      <c r="BG845" s="942"/>
      <c r="BH845" s="942"/>
      <c r="BI845" s="84"/>
      <c r="BL845" s="84"/>
      <c r="BM845" s="84"/>
      <c r="BN845" s="84"/>
      <c r="BO845" s="84"/>
      <c r="BP845" s="84"/>
      <c r="BQ845" s="84"/>
      <c r="BR845" s="84"/>
      <c r="BS845" s="942"/>
      <c r="BT845" s="942"/>
      <c r="BU845" s="942"/>
      <c r="BV845" s="84"/>
    </row>
    <row r="846" spans="14:74" ht="14.25">
      <c r="N846" s="84"/>
      <c r="O846" s="84"/>
      <c r="P846" s="84"/>
      <c r="Q846" s="84"/>
      <c r="R846" s="84"/>
      <c r="S846" s="84"/>
      <c r="T846" s="84"/>
      <c r="U846" s="84"/>
      <c r="V846" s="84"/>
      <c r="W846" s="84"/>
      <c r="Y846" s="84"/>
      <c r="Z846" s="84"/>
      <c r="AA846" s="84"/>
      <c r="AB846" s="84"/>
      <c r="AC846" s="84"/>
      <c r="AD846" s="84"/>
      <c r="AE846" s="84"/>
      <c r="AF846" s="84"/>
      <c r="AG846" s="84"/>
      <c r="AH846" s="84"/>
      <c r="AI846" s="84"/>
      <c r="AL846" s="84"/>
      <c r="AM846" s="84"/>
      <c r="AN846" s="84"/>
      <c r="AO846" s="84"/>
      <c r="AP846" s="84"/>
      <c r="AQ846" s="84"/>
      <c r="AR846" s="84"/>
      <c r="AS846" s="84"/>
      <c r="AT846" s="84"/>
      <c r="AU846" s="84"/>
      <c r="AV846" s="84"/>
      <c r="AY846" s="84"/>
      <c r="AZ846" s="84"/>
      <c r="BA846" s="84"/>
      <c r="BB846" s="84"/>
      <c r="BC846" s="84"/>
      <c r="BD846" s="84"/>
      <c r="BE846" s="84"/>
      <c r="BF846" s="942"/>
      <c r="BG846" s="942"/>
      <c r="BH846" s="942"/>
      <c r="BI846" s="84"/>
      <c r="BL846" s="84"/>
      <c r="BM846" s="84"/>
      <c r="BN846" s="84"/>
      <c r="BO846" s="84"/>
      <c r="BP846" s="84"/>
      <c r="BQ846" s="84"/>
      <c r="BR846" s="84"/>
      <c r="BS846" s="942"/>
      <c r="BT846" s="942"/>
      <c r="BU846" s="942"/>
      <c r="BV846" s="84"/>
    </row>
    <row r="847" spans="14:74" ht="14.25">
      <c r="N847" s="84"/>
      <c r="O847" s="84"/>
      <c r="P847" s="84"/>
      <c r="Q847" s="84"/>
      <c r="R847" s="84"/>
      <c r="S847" s="84"/>
      <c r="T847" s="84"/>
      <c r="U847" s="84"/>
      <c r="V847" s="84"/>
      <c r="W847" s="84"/>
      <c r="Y847" s="84"/>
      <c r="Z847" s="84"/>
      <c r="AA847" s="84"/>
      <c r="AB847" s="84"/>
      <c r="AC847" s="84"/>
      <c r="AD847" s="84"/>
      <c r="AE847" s="84"/>
      <c r="AF847" s="84"/>
      <c r="AG847" s="84"/>
      <c r="AH847" s="84"/>
      <c r="AI847" s="84"/>
      <c r="AL847" s="84"/>
      <c r="AM847" s="84"/>
      <c r="AN847" s="84"/>
      <c r="AO847" s="84"/>
      <c r="AP847" s="84"/>
      <c r="AQ847" s="84"/>
      <c r="AR847" s="84"/>
      <c r="AS847" s="84"/>
      <c r="AT847" s="84"/>
      <c r="AU847" s="84"/>
      <c r="AV847" s="84"/>
      <c r="AY847" s="84"/>
      <c r="AZ847" s="84"/>
      <c r="BA847" s="84"/>
      <c r="BB847" s="84"/>
      <c r="BC847" s="84"/>
      <c r="BD847" s="84"/>
      <c r="BE847" s="84"/>
      <c r="BF847" s="942"/>
      <c r="BG847" s="942"/>
      <c r="BH847" s="942"/>
      <c r="BI847" s="84"/>
      <c r="BL847" s="84"/>
      <c r="BM847" s="84"/>
      <c r="BN847" s="84"/>
      <c r="BO847" s="84"/>
      <c r="BP847" s="84"/>
      <c r="BQ847" s="84"/>
      <c r="BR847" s="84"/>
      <c r="BS847" s="942"/>
      <c r="BT847" s="942"/>
      <c r="BU847" s="942"/>
      <c r="BV847" s="84"/>
    </row>
    <row r="848" spans="14:74" ht="14.25">
      <c r="N848" s="84"/>
      <c r="O848" s="84"/>
      <c r="P848" s="84"/>
      <c r="Q848" s="84"/>
      <c r="R848" s="84"/>
      <c r="S848" s="84"/>
      <c r="T848" s="84"/>
      <c r="U848" s="84"/>
      <c r="V848" s="84"/>
      <c r="W848" s="84"/>
      <c r="Y848" s="84"/>
      <c r="Z848" s="84"/>
      <c r="AA848" s="84"/>
      <c r="AB848" s="84"/>
      <c r="AC848" s="84"/>
      <c r="AD848" s="84"/>
      <c r="AE848" s="84"/>
      <c r="AF848" s="84"/>
      <c r="AG848" s="84"/>
      <c r="AH848" s="84"/>
      <c r="AI848" s="84"/>
      <c r="AL848" s="84"/>
      <c r="AM848" s="84"/>
      <c r="AN848" s="84"/>
      <c r="AO848" s="84"/>
      <c r="AP848" s="84"/>
      <c r="AQ848" s="84"/>
      <c r="AR848" s="84"/>
      <c r="AS848" s="84"/>
      <c r="AT848" s="84"/>
      <c r="AU848" s="84"/>
      <c r="AV848" s="84"/>
      <c r="AY848" s="84"/>
      <c r="AZ848" s="84"/>
      <c r="BA848" s="84"/>
      <c r="BB848" s="84"/>
      <c r="BC848" s="84"/>
      <c r="BD848" s="84"/>
      <c r="BE848" s="84"/>
      <c r="BF848" s="942"/>
      <c r="BG848" s="942"/>
      <c r="BH848" s="942"/>
      <c r="BI848" s="84"/>
      <c r="BL848" s="84"/>
      <c r="BM848" s="84"/>
      <c r="BN848" s="84"/>
      <c r="BO848" s="84"/>
      <c r="BP848" s="84"/>
      <c r="BQ848" s="84"/>
      <c r="BR848" s="84"/>
      <c r="BS848" s="942"/>
      <c r="BT848" s="942"/>
      <c r="BU848" s="942"/>
      <c r="BV848" s="84"/>
    </row>
    <row r="849" spans="14:74" ht="14.25">
      <c r="N849" s="84"/>
      <c r="O849" s="84"/>
      <c r="P849" s="84"/>
      <c r="Q849" s="84"/>
      <c r="R849" s="84"/>
      <c r="S849" s="84"/>
      <c r="T849" s="84"/>
      <c r="U849" s="84"/>
      <c r="V849" s="84"/>
      <c r="W849" s="84"/>
      <c r="Y849" s="84"/>
      <c r="Z849" s="84"/>
      <c r="AA849" s="84"/>
      <c r="AB849" s="84"/>
      <c r="AC849" s="84"/>
      <c r="AD849" s="84"/>
      <c r="AE849" s="84"/>
      <c r="AF849" s="84"/>
      <c r="AG849" s="84"/>
      <c r="AH849" s="84"/>
      <c r="AI849" s="84"/>
      <c r="AL849" s="84"/>
      <c r="AM849" s="84"/>
      <c r="AN849" s="84"/>
      <c r="AO849" s="84"/>
      <c r="AP849" s="84"/>
      <c r="AQ849" s="84"/>
      <c r="AR849" s="84"/>
      <c r="AS849" s="84"/>
      <c r="AT849" s="84"/>
      <c r="AU849" s="84"/>
      <c r="AV849" s="84"/>
      <c r="AY849" s="84"/>
      <c r="AZ849" s="84"/>
      <c r="BA849" s="84"/>
      <c r="BB849" s="84"/>
      <c r="BC849" s="84"/>
      <c r="BD849" s="84"/>
      <c r="BE849" s="84"/>
      <c r="BF849" s="942"/>
      <c r="BG849" s="942"/>
      <c r="BH849" s="942"/>
      <c r="BI849" s="84"/>
      <c r="BL849" s="84"/>
      <c r="BM849" s="84"/>
      <c r="BN849" s="84"/>
      <c r="BO849" s="84"/>
      <c r="BP849" s="84"/>
      <c r="BQ849" s="84"/>
      <c r="BR849" s="84"/>
      <c r="BS849" s="942"/>
      <c r="BT849" s="942"/>
      <c r="BU849" s="942"/>
      <c r="BV849" s="84"/>
    </row>
    <row r="850" spans="14:74" ht="14.25">
      <c r="N850" s="84"/>
      <c r="O850" s="84"/>
      <c r="P850" s="84"/>
      <c r="Q850" s="84"/>
      <c r="R850" s="84"/>
      <c r="S850" s="84"/>
      <c r="T850" s="84"/>
      <c r="U850" s="84"/>
      <c r="V850" s="84"/>
      <c r="W850" s="84"/>
      <c r="Y850" s="84"/>
      <c r="Z850" s="84"/>
      <c r="AA850" s="84"/>
      <c r="AB850" s="84"/>
      <c r="AC850" s="84"/>
      <c r="AD850" s="84"/>
      <c r="AE850" s="84"/>
      <c r="AF850" s="84"/>
      <c r="AG850" s="84"/>
      <c r="AH850" s="84"/>
      <c r="AI850" s="84"/>
      <c r="AL850" s="84"/>
      <c r="AM850" s="84"/>
      <c r="AN850" s="84"/>
      <c r="AO850" s="84"/>
      <c r="AP850" s="84"/>
      <c r="AQ850" s="84"/>
      <c r="AR850" s="84"/>
      <c r="AS850" s="84"/>
      <c r="AT850" s="84"/>
      <c r="AU850" s="84"/>
      <c r="AV850" s="84"/>
      <c r="AY850" s="84"/>
      <c r="AZ850" s="84"/>
      <c r="BA850" s="84"/>
      <c r="BB850" s="84"/>
      <c r="BC850" s="84"/>
      <c r="BD850" s="84"/>
      <c r="BE850" s="84"/>
      <c r="BF850" s="942"/>
      <c r="BG850" s="942"/>
      <c r="BH850" s="942"/>
      <c r="BI850" s="84"/>
      <c r="BL850" s="84"/>
      <c r="BM850" s="84"/>
      <c r="BN850" s="84"/>
      <c r="BO850" s="84"/>
      <c r="BP850" s="84"/>
      <c r="BQ850" s="84"/>
      <c r="BR850" s="84"/>
      <c r="BS850" s="942"/>
      <c r="BT850" s="942"/>
      <c r="BU850" s="942"/>
      <c r="BV850" s="84"/>
    </row>
    <row r="851" spans="14:74" ht="14.25">
      <c r="N851" s="84"/>
      <c r="O851" s="84"/>
      <c r="P851" s="84"/>
      <c r="Q851" s="84"/>
      <c r="R851" s="84"/>
      <c r="S851" s="84"/>
      <c r="T851" s="84"/>
      <c r="U851" s="84"/>
      <c r="V851" s="84"/>
      <c r="W851" s="84"/>
      <c r="Y851" s="84"/>
      <c r="Z851" s="84"/>
      <c r="AA851" s="84"/>
      <c r="AB851" s="84"/>
      <c r="AC851" s="84"/>
      <c r="AD851" s="84"/>
      <c r="AE851" s="84"/>
      <c r="AF851" s="84"/>
      <c r="AG851" s="84"/>
      <c r="AH851" s="84"/>
      <c r="AI851" s="84"/>
      <c r="AL851" s="84"/>
      <c r="AM851" s="84"/>
      <c r="AN851" s="84"/>
      <c r="AO851" s="84"/>
      <c r="AP851" s="84"/>
      <c r="AQ851" s="84"/>
      <c r="AR851" s="84"/>
      <c r="AS851" s="84"/>
      <c r="AT851" s="84"/>
      <c r="AU851" s="84"/>
      <c r="AV851" s="84"/>
      <c r="AY851" s="84"/>
      <c r="AZ851" s="84"/>
      <c r="BA851" s="84"/>
      <c r="BB851" s="84"/>
      <c r="BC851" s="84"/>
      <c r="BD851" s="84"/>
      <c r="BE851" s="84"/>
      <c r="BF851" s="942"/>
      <c r="BG851" s="942"/>
      <c r="BH851" s="942"/>
      <c r="BI851" s="84"/>
      <c r="BL851" s="84"/>
      <c r="BM851" s="84"/>
      <c r="BN851" s="84"/>
      <c r="BO851" s="84"/>
      <c r="BP851" s="84"/>
      <c r="BQ851" s="84"/>
      <c r="BR851" s="84"/>
      <c r="BS851" s="942"/>
      <c r="BT851" s="942"/>
      <c r="BU851" s="942"/>
      <c r="BV851" s="84"/>
    </row>
    <row r="852" spans="14:74" ht="14.25">
      <c r="N852" s="84"/>
      <c r="O852" s="84"/>
      <c r="P852" s="84"/>
      <c r="Q852" s="84"/>
      <c r="R852" s="84"/>
      <c r="S852" s="84"/>
      <c r="T852" s="84"/>
      <c r="U852" s="84"/>
      <c r="V852" s="84"/>
      <c r="W852" s="84"/>
      <c r="Y852" s="84"/>
      <c r="Z852" s="84"/>
      <c r="AA852" s="84"/>
      <c r="AB852" s="84"/>
      <c r="AC852" s="84"/>
      <c r="AD852" s="84"/>
      <c r="AE852" s="84"/>
      <c r="AF852" s="84"/>
      <c r="AG852" s="84"/>
      <c r="AH852" s="84"/>
      <c r="AI852" s="84"/>
      <c r="AL852" s="84"/>
      <c r="AM852" s="84"/>
      <c r="AN852" s="84"/>
      <c r="AO852" s="84"/>
      <c r="AP852" s="84"/>
      <c r="AQ852" s="84"/>
      <c r="AR852" s="84"/>
      <c r="AS852" s="84"/>
      <c r="AT852" s="84"/>
      <c r="AU852" s="84"/>
      <c r="AV852" s="84"/>
      <c r="AY852" s="84"/>
      <c r="AZ852" s="84"/>
      <c r="BA852" s="84"/>
      <c r="BB852" s="84"/>
      <c r="BC852" s="84"/>
      <c r="BD852" s="84"/>
      <c r="BE852" s="84"/>
      <c r="BF852" s="942"/>
      <c r="BG852" s="942"/>
      <c r="BH852" s="942"/>
      <c r="BI852" s="84"/>
      <c r="BL852" s="84"/>
      <c r="BM852" s="84"/>
      <c r="BN852" s="84"/>
      <c r="BO852" s="84"/>
      <c r="BP852" s="84"/>
      <c r="BQ852" s="84"/>
      <c r="BR852" s="84"/>
      <c r="BS852" s="942"/>
      <c r="BT852" s="942"/>
      <c r="BU852" s="942"/>
      <c r="BV852" s="84"/>
    </row>
    <row r="853" spans="14:74" ht="14.25">
      <c r="N853" s="84"/>
      <c r="O853" s="84"/>
      <c r="P853" s="84"/>
      <c r="Q853" s="84"/>
      <c r="R853" s="84"/>
      <c r="S853" s="84"/>
      <c r="T853" s="84"/>
      <c r="U853" s="84"/>
      <c r="V853" s="84"/>
      <c r="W853" s="84"/>
      <c r="Y853" s="84"/>
      <c r="Z853" s="84"/>
      <c r="AA853" s="84"/>
      <c r="AB853" s="84"/>
      <c r="AC853" s="84"/>
      <c r="AD853" s="84"/>
      <c r="AE853" s="84"/>
      <c r="AF853" s="84"/>
      <c r="AG853" s="84"/>
      <c r="AH853" s="84"/>
      <c r="AI853" s="84"/>
      <c r="AL853" s="84"/>
      <c r="AM853" s="84"/>
      <c r="AN853" s="84"/>
      <c r="AO853" s="84"/>
      <c r="AP853" s="84"/>
      <c r="AQ853" s="84"/>
      <c r="AR853" s="84"/>
      <c r="AS853" s="84"/>
      <c r="AT853" s="84"/>
      <c r="AU853" s="84"/>
      <c r="AV853" s="84"/>
      <c r="AY853" s="84"/>
      <c r="AZ853" s="84"/>
      <c r="BA853" s="84"/>
      <c r="BB853" s="84"/>
      <c r="BC853" s="84"/>
      <c r="BD853" s="84"/>
      <c r="BE853" s="84"/>
      <c r="BF853" s="942"/>
      <c r="BG853" s="942"/>
      <c r="BH853" s="942"/>
      <c r="BI853" s="84"/>
      <c r="BL853" s="84"/>
      <c r="BM853" s="84"/>
      <c r="BN853" s="84"/>
      <c r="BO853" s="84"/>
      <c r="BP853" s="84"/>
      <c r="BQ853" s="84"/>
      <c r="BR853" s="84"/>
      <c r="BS853" s="942"/>
      <c r="BT853" s="942"/>
      <c r="BU853" s="942"/>
      <c r="BV853" s="84"/>
    </row>
    <row r="854" spans="14:74" ht="14.25">
      <c r="N854" s="84"/>
      <c r="O854" s="84"/>
      <c r="P854" s="84"/>
      <c r="Q854" s="84"/>
      <c r="R854" s="84"/>
      <c r="S854" s="84"/>
      <c r="T854" s="84"/>
      <c r="U854" s="84"/>
      <c r="V854" s="84"/>
      <c r="W854" s="84"/>
      <c r="Y854" s="84"/>
      <c r="Z854" s="84"/>
      <c r="AA854" s="84"/>
      <c r="AB854" s="84"/>
      <c r="AC854" s="84"/>
      <c r="AD854" s="84"/>
      <c r="AE854" s="84"/>
      <c r="AF854" s="84"/>
      <c r="AG854" s="84"/>
      <c r="AH854" s="84"/>
      <c r="AI854" s="84"/>
      <c r="AL854" s="84"/>
      <c r="AM854" s="84"/>
      <c r="AN854" s="84"/>
      <c r="AO854" s="84"/>
      <c r="AP854" s="84"/>
      <c r="AQ854" s="84"/>
      <c r="AR854" s="84"/>
      <c r="AS854" s="84"/>
      <c r="AT854" s="84"/>
      <c r="AU854" s="84"/>
      <c r="AV854" s="84"/>
      <c r="AY854" s="84"/>
      <c r="AZ854" s="84"/>
      <c r="BA854" s="84"/>
      <c r="BB854" s="84"/>
      <c r="BC854" s="84"/>
      <c r="BD854" s="84"/>
      <c r="BE854" s="84"/>
      <c r="BF854" s="942"/>
      <c r="BG854" s="942"/>
      <c r="BH854" s="942"/>
      <c r="BI854" s="84"/>
      <c r="BL854" s="84"/>
      <c r="BM854" s="84"/>
      <c r="BN854" s="84"/>
      <c r="BO854" s="84"/>
      <c r="BP854" s="84"/>
      <c r="BQ854" s="84"/>
      <c r="BR854" s="84"/>
      <c r="BS854" s="942"/>
      <c r="BT854" s="942"/>
      <c r="BU854" s="942"/>
      <c r="BV854" s="84"/>
    </row>
    <row r="855" spans="14:74" ht="14.25">
      <c r="N855" s="84"/>
      <c r="O855" s="84"/>
      <c r="P855" s="84"/>
      <c r="Q855" s="84"/>
      <c r="R855" s="84"/>
      <c r="S855" s="84"/>
      <c r="T855" s="84"/>
      <c r="U855" s="84"/>
      <c r="V855" s="84"/>
      <c r="W855" s="84"/>
      <c r="Y855" s="84"/>
      <c r="Z855" s="84"/>
      <c r="AA855" s="84"/>
      <c r="AB855" s="84"/>
      <c r="AC855" s="84"/>
      <c r="AD855" s="84"/>
      <c r="AE855" s="84"/>
      <c r="AF855" s="84"/>
      <c r="AG855" s="84"/>
      <c r="AH855" s="84"/>
      <c r="AI855" s="84"/>
      <c r="AL855" s="84"/>
      <c r="AM855" s="84"/>
      <c r="AN855" s="84"/>
      <c r="AO855" s="84"/>
      <c r="AP855" s="84"/>
      <c r="AQ855" s="84"/>
      <c r="AR855" s="84"/>
      <c r="AS855" s="84"/>
      <c r="AT855" s="84"/>
      <c r="AU855" s="84"/>
      <c r="AV855" s="84"/>
      <c r="AY855" s="84"/>
      <c r="AZ855" s="84"/>
      <c r="BA855" s="84"/>
      <c r="BB855" s="84"/>
      <c r="BC855" s="84"/>
      <c r="BD855" s="84"/>
      <c r="BE855" s="84"/>
      <c r="BF855" s="942"/>
      <c r="BG855" s="942"/>
      <c r="BH855" s="942"/>
      <c r="BI855" s="84"/>
      <c r="BL855" s="84"/>
      <c r="BM855" s="84"/>
      <c r="BN855" s="84"/>
      <c r="BO855" s="84"/>
      <c r="BP855" s="84"/>
      <c r="BQ855" s="84"/>
      <c r="BR855" s="84"/>
      <c r="BS855" s="942"/>
      <c r="BT855" s="942"/>
      <c r="BU855" s="942"/>
      <c r="BV855" s="84"/>
    </row>
    <row r="856" spans="14:74" ht="14.25">
      <c r="N856" s="84"/>
      <c r="O856" s="84"/>
      <c r="P856" s="84"/>
      <c r="Q856" s="84"/>
      <c r="R856" s="84"/>
      <c r="S856" s="84"/>
      <c r="T856" s="84"/>
      <c r="U856" s="84"/>
      <c r="V856" s="84"/>
      <c r="W856" s="84"/>
      <c r="Y856" s="84"/>
      <c r="Z856" s="84"/>
      <c r="AA856" s="84"/>
      <c r="AB856" s="84"/>
      <c r="AC856" s="84"/>
      <c r="AD856" s="84"/>
      <c r="AE856" s="84"/>
      <c r="AF856" s="84"/>
      <c r="AG856" s="84"/>
      <c r="AH856" s="84"/>
      <c r="AI856" s="84"/>
      <c r="AL856" s="84"/>
      <c r="AM856" s="84"/>
      <c r="AN856" s="84"/>
      <c r="AO856" s="84"/>
      <c r="AP856" s="84"/>
      <c r="AQ856" s="84"/>
      <c r="AR856" s="84"/>
      <c r="AS856" s="84"/>
      <c r="AT856" s="84"/>
      <c r="AU856" s="84"/>
      <c r="AV856" s="84"/>
      <c r="AY856" s="84"/>
      <c r="AZ856" s="84"/>
      <c r="BA856" s="84"/>
      <c r="BB856" s="84"/>
      <c r="BC856" s="84"/>
      <c r="BD856" s="84"/>
      <c r="BE856" s="84"/>
      <c r="BF856" s="942"/>
      <c r="BG856" s="942"/>
      <c r="BH856" s="942"/>
      <c r="BI856" s="84"/>
      <c r="BL856" s="84"/>
      <c r="BM856" s="84"/>
      <c r="BN856" s="84"/>
      <c r="BO856" s="84"/>
      <c r="BP856" s="84"/>
      <c r="BQ856" s="84"/>
      <c r="BR856" s="84"/>
      <c r="BS856" s="942"/>
      <c r="BT856" s="942"/>
      <c r="BU856" s="942"/>
      <c r="BV856" s="84"/>
    </row>
    <row r="857" spans="14:74" ht="14.25">
      <c r="N857" s="84"/>
      <c r="O857" s="84"/>
      <c r="P857" s="84"/>
      <c r="Q857" s="84"/>
      <c r="R857" s="84"/>
      <c r="S857" s="84"/>
      <c r="T857" s="84"/>
      <c r="U857" s="84"/>
      <c r="V857" s="84"/>
      <c r="W857" s="84"/>
      <c r="Y857" s="84"/>
      <c r="Z857" s="84"/>
      <c r="AA857" s="84"/>
      <c r="AB857" s="84"/>
      <c r="AC857" s="84"/>
      <c r="AD857" s="84"/>
      <c r="AE857" s="84"/>
      <c r="AF857" s="84"/>
      <c r="AG857" s="84"/>
      <c r="AH857" s="84"/>
      <c r="AI857" s="84"/>
      <c r="AL857" s="84"/>
      <c r="AM857" s="84"/>
      <c r="AN857" s="84"/>
      <c r="AO857" s="84"/>
      <c r="AP857" s="84"/>
      <c r="AQ857" s="84"/>
      <c r="AR857" s="84"/>
      <c r="AS857" s="84"/>
      <c r="AT857" s="84"/>
      <c r="AU857" s="84"/>
      <c r="AV857" s="84"/>
      <c r="AY857" s="84"/>
      <c r="AZ857" s="84"/>
      <c r="BA857" s="84"/>
      <c r="BB857" s="84"/>
      <c r="BC857" s="84"/>
      <c r="BD857" s="84"/>
      <c r="BE857" s="84"/>
      <c r="BF857" s="942"/>
      <c r="BG857" s="942"/>
      <c r="BH857" s="942"/>
      <c r="BI857" s="84"/>
      <c r="BL857" s="84"/>
      <c r="BM857" s="84"/>
      <c r="BN857" s="84"/>
      <c r="BO857" s="84"/>
      <c r="BP857" s="84"/>
      <c r="BQ857" s="84"/>
      <c r="BR857" s="84"/>
      <c r="BS857" s="942"/>
      <c r="BT857" s="942"/>
      <c r="BU857" s="942"/>
      <c r="BV857" s="84"/>
    </row>
    <row r="858" spans="14:74" ht="14.25">
      <c r="N858" s="84"/>
      <c r="O858" s="84"/>
      <c r="P858" s="84"/>
      <c r="Q858" s="84"/>
      <c r="R858" s="84"/>
      <c r="S858" s="84"/>
      <c r="T858" s="84"/>
      <c r="U858" s="84"/>
      <c r="V858" s="84"/>
      <c r="W858" s="84"/>
      <c r="Y858" s="84"/>
      <c r="Z858" s="84"/>
      <c r="AA858" s="84"/>
      <c r="AB858" s="84"/>
      <c r="AC858" s="84"/>
      <c r="AD858" s="84"/>
      <c r="AE858" s="84"/>
      <c r="AF858" s="84"/>
      <c r="AG858" s="84"/>
      <c r="AH858" s="84"/>
      <c r="AI858" s="84"/>
      <c r="AL858" s="84"/>
      <c r="AM858" s="84"/>
      <c r="AN858" s="84"/>
      <c r="AO858" s="84"/>
      <c r="AP858" s="84"/>
      <c r="AQ858" s="84"/>
      <c r="AR858" s="84"/>
      <c r="AS858" s="84"/>
      <c r="AT858" s="84"/>
      <c r="AU858" s="84"/>
      <c r="AV858" s="84"/>
      <c r="AY858" s="84"/>
      <c r="AZ858" s="84"/>
      <c r="BA858" s="84"/>
      <c r="BB858" s="84"/>
      <c r="BC858" s="84"/>
      <c r="BD858" s="84"/>
      <c r="BE858" s="84"/>
      <c r="BF858" s="942"/>
      <c r="BG858" s="942"/>
      <c r="BH858" s="942"/>
      <c r="BI858" s="84"/>
      <c r="BL858" s="84"/>
      <c r="BM858" s="84"/>
      <c r="BN858" s="84"/>
      <c r="BO858" s="84"/>
      <c r="BP858" s="84"/>
      <c r="BQ858" s="84"/>
      <c r="BR858" s="84"/>
      <c r="BS858" s="942"/>
      <c r="BT858" s="942"/>
      <c r="BU858" s="942"/>
      <c r="BV858" s="84"/>
    </row>
    <row r="859" spans="14:74" ht="14.25">
      <c r="N859" s="84"/>
      <c r="O859" s="84"/>
      <c r="P859" s="84"/>
      <c r="Q859" s="84"/>
      <c r="R859" s="84"/>
      <c r="S859" s="84"/>
      <c r="T859" s="84"/>
      <c r="U859" s="84"/>
      <c r="V859" s="84"/>
      <c r="W859" s="84"/>
      <c r="Y859" s="84"/>
      <c r="Z859" s="84"/>
      <c r="AA859" s="84"/>
      <c r="AB859" s="84"/>
      <c r="AC859" s="84"/>
      <c r="AD859" s="84"/>
      <c r="AE859" s="84"/>
      <c r="AF859" s="84"/>
      <c r="AG859" s="84"/>
      <c r="AH859" s="84"/>
      <c r="AI859" s="84"/>
      <c r="AL859" s="84"/>
      <c r="AM859" s="84"/>
      <c r="AN859" s="84"/>
      <c r="AO859" s="84"/>
      <c r="AP859" s="84"/>
      <c r="AQ859" s="84"/>
      <c r="AR859" s="84"/>
      <c r="AS859" s="84"/>
      <c r="AT859" s="84"/>
      <c r="AU859" s="84"/>
      <c r="AV859" s="84"/>
      <c r="AY859" s="84"/>
      <c r="AZ859" s="84"/>
      <c r="BA859" s="84"/>
      <c r="BB859" s="84"/>
      <c r="BC859" s="84"/>
      <c r="BD859" s="84"/>
      <c r="BE859" s="84"/>
      <c r="BF859" s="942"/>
      <c r="BG859" s="942"/>
      <c r="BH859" s="942"/>
      <c r="BI859" s="84"/>
      <c r="BL859" s="84"/>
      <c r="BM859" s="84"/>
      <c r="BN859" s="84"/>
      <c r="BO859" s="84"/>
      <c r="BP859" s="84"/>
      <c r="BQ859" s="84"/>
      <c r="BR859" s="84"/>
      <c r="BS859" s="942"/>
      <c r="BT859" s="942"/>
      <c r="BU859" s="942"/>
      <c r="BV859" s="84"/>
    </row>
    <row r="860" spans="14:74" ht="14.25">
      <c r="N860" s="84"/>
      <c r="O860" s="84"/>
      <c r="P860" s="84"/>
      <c r="Q860" s="84"/>
      <c r="R860" s="84"/>
      <c r="S860" s="84"/>
      <c r="T860" s="84"/>
      <c r="U860" s="84"/>
      <c r="V860" s="84"/>
      <c r="W860" s="84"/>
      <c r="Y860" s="84"/>
      <c r="Z860" s="84"/>
      <c r="AA860" s="84"/>
      <c r="AB860" s="84"/>
      <c r="AC860" s="84"/>
      <c r="AD860" s="84"/>
      <c r="AE860" s="84"/>
      <c r="AF860" s="84"/>
      <c r="AG860" s="84"/>
      <c r="AH860" s="84"/>
      <c r="AI860" s="84"/>
      <c r="AL860" s="84"/>
      <c r="AM860" s="84"/>
      <c r="AN860" s="84"/>
      <c r="AO860" s="84"/>
      <c r="AP860" s="84"/>
      <c r="AQ860" s="84"/>
      <c r="AR860" s="84"/>
      <c r="AS860" s="84"/>
      <c r="AT860" s="84"/>
      <c r="AU860" s="84"/>
      <c r="AV860" s="84"/>
      <c r="AY860" s="84"/>
      <c r="AZ860" s="84"/>
      <c r="BA860" s="84"/>
      <c r="BB860" s="84"/>
      <c r="BC860" s="84"/>
      <c r="BD860" s="84"/>
      <c r="BE860" s="84"/>
      <c r="BF860" s="942"/>
      <c r="BG860" s="942"/>
      <c r="BH860" s="942"/>
      <c r="BI860" s="84"/>
      <c r="BL860" s="84"/>
      <c r="BM860" s="84"/>
      <c r="BN860" s="84"/>
      <c r="BO860" s="84"/>
      <c r="BP860" s="84"/>
      <c r="BQ860" s="84"/>
      <c r="BR860" s="84"/>
      <c r="BS860" s="942"/>
      <c r="BT860" s="942"/>
      <c r="BU860" s="942"/>
      <c r="BV860" s="84"/>
    </row>
    <row r="861" spans="14:74" ht="14.25">
      <c r="N861" s="84"/>
      <c r="O861" s="84"/>
      <c r="P861" s="84"/>
      <c r="Q861" s="84"/>
      <c r="R861" s="84"/>
      <c r="S861" s="84"/>
      <c r="T861" s="84"/>
      <c r="U861" s="84"/>
      <c r="V861" s="84"/>
      <c r="W861" s="84"/>
      <c r="Y861" s="84"/>
      <c r="Z861" s="84"/>
      <c r="AA861" s="84"/>
      <c r="AB861" s="84"/>
      <c r="AC861" s="84"/>
      <c r="AD861" s="84"/>
      <c r="AE861" s="84"/>
      <c r="AF861" s="84"/>
      <c r="AG861" s="84"/>
      <c r="AH861" s="84"/>
      <c r="AI861" s="84"/>
      <c r="AL861" s="84"/>
      <c r="AM861" s="84"/>
      <c r="AN861" s="84"/>
      <c r="AO861" s="84"/>
      <c r="AP861" s="84"/>
      <c r="AQ861" s="84"/>
      <c r="AR861" s="84"/>
      <c r="AS861" s="84"/>
      <c r="AT861" s="84"/>
      <c r="AU861" s="84"/>
      <c r="AV861" s="84"/>
      <c r="AY861" s="84"/>
      <c r="AZ861" s="84"/>
      <c r="BA861" s="84"/>
      <c r="BB861" s="84"/>
      <c r="BC861" s="84"/>
      <c r="BD861" s="84"/>
      <c r="BE861" s="84"/>
      <c r="BF861" s="942"/>
      <c r="BG861" s="942"/>
      <c r="BH861" s="942"/>
      <c r="BI861" s="84"/>
      <c r="BL861" s="84"/>
      <c r="BM861" s="84"/>
      <c r="BN861" s="84"/>
      <c r="BO861" s="84"/>
      <c r="BP861" s="84"/>
      <c r="BQ861" s="84"/>
      <c r="BR861" s="84"/>
      <c r="BS861" s="942"/>
      <c r="BT861" s="942"/>
      <c r="BU861" s="942"/>
      <c r="BV861" s="84"/>
    </row>
    <row r="862" spans="14:74" ht="14.25">
      <c r="N862" s="84"/>
      <c r="O862" s="84"/>
      <c r="P862" s="84"/>
      <c r="Q862" s="84"/>
      <c r="R862" s="84"/>
      <c r="S862" s="84"/>
      <c r="T862" s="84"/>
      <c r="U862" s="84"/>
      <c r="V862" s="84"/>
      <c r="W862" s="84"/>
      <c r="Y862" s="84"/>
      <c r="Z862" s="84"/>
      <c r="AA862" s="84"/>
      <c r="AB862" s="84"/>
      <c r="AC862" s="84"/>
      <c r="AD862" s="84"/>
      <c r="AE862" s="84"/>
      <c r="AF862" s="84"/>
      <c r="AG862" s="84"/>
      <c r="AH862" s="84"/>
      <c r="AI862" s="84"/>
      <c r="AL862" s="84"/>
      <c r="AM862" s="84"/>
      <c r="AN862" s="84"/>
      <c r="AO862" s="84"/>
      <c r="AP862" s="84"/>
      <c r="AQ862" s="84"/>
      <c r="AR862" s="84"/>
      <c r="AS862" s="84"/>
      <c r="AT862" s="84"/>
      <c r="AU862" s="84"/>
      <c r="AV862" s="84"/>
      <c r="AY862" s="84"/>
      <c r="AZ862" s="84"/>
      <c r="BA862" s="84"/>
      <c r="BB862" s="84"/>
      <c r="BC862" s="84"/>
      <c r="BD862" s="84"/>
      <c r="BE862" s="84"/>
      <c r="BF862" s="942"/>
      <c r="BG862" s="942"/>
      <c r="BH862" s="942"/>
      <c r="BI862" s="84"/>
      <c r="BL862" s="84"/>
      <c r="BM862" s="84"/>
      <c r="BN862" s="84"/>
      <c r="BO862" s="84"/>
      <c r="BP862" s="84"/>
      <c r="BQ862" s="84"/>
      <c r="BR862" s="84"/>
      <c r="BS862" s="942"/>
      <c r="BT862" s="942"/>
      <c r="BU862" s="942"/>
      <c r="BV862" s="84"/>
    </row>
    <row r="863" spans="14:74" ht="14.25">
      <c r="N863" s="84"/>
      <c r="O863" s="84"/>
      <c r="P863" s="84"/>
      <c r="Q863" s="84"/>
      <c r="R863" s="84"/>
      <c r="S863" s="84"/>
      <c r="T863" s="84"/>
      <c r="U863" s="84"/>
      <c r="V863" s="84"/>
      <c r="W863" s="84"/>
      <c r="Y863" s="84"/>
      <c r="Z863" s="84"/>
      <c r="AA863" s="84"/>
      <c r="AB863" s="84"/>
      <c r="AC863" s="84"/>
      <c r="AD863" s="84"/>
      <c r="AE863" s="84"/>
      <c r="AF863" s="84"/>
      <c r="AG863" s="84"/>
      <c r="AH863" s="84"/>
      <c r="AI863" s="84"/>
      <c r="AL863" s="84"/>
      <c r="AM863" s="84"/>
      <c r="AN863" s="84"/>
      <c r="AO863" s="84"/>
      <c r="AP863" s="84"/>
      <c r="AQ863" s="84"/>
      <c r="AR863" s="84"/>
      <c r="AS863" s="84"/>
      <c r="AT863" s="84"/>
      <c r="AU863" s="84"/>
      <c r="AV863" s="84"/>
      <c r="AY863" s="84"/>
      <c r="AZ863" s="84"/>
      <c r="BA863" s="84"/>
      <c r="BB863" s="84"/>
      <c r="BC863" s="84"/>
      <c r="BD863" s="84"/>
      <c r="BE863" s="84"/>
      <c r="BF863" s="942"/>
      <c r="BG863" s="942"/>
      <c r="BH863" s="942"/>
      <c r="BI863" s="84"/>
      <c r="BL863" s="84"/>
      <c r="BM863" s="84"/>
      <c r="BN863" s="84"/>
      <c r="BO863" s="84"/>
      <c r="BP863" s="84"/>
      <c r="BQ863" s="84"/>
      <c r="BR863" s="84"/>
      <c r="BS863" s="942"/>
      <c r="BT863" s="942"/>
      <c r="BU863" s="942"/>
      <c r="BV863" s="84"/>
    </row>
    <row r="864" spans="14:74" ht="14.25">
      <c r="N864" s="84"/>
      <c r="O864" s="84"/>
      <c r="P864" s="84"/>
      <c r="Q864" s="84"/>
      <c r="R864" s="84"/>
      <c r="S864" s="84"/>
      <c r="T864" s="84"/>
      <c r="U864" s="84"/>
      <c r="V864" s="84"/>
      <c r="W864" s="84"/>
      <c r="Y864" s="84"/>
      <c r="Z864" s="84"/>
      <c r="AA864" s="84"/>
      <c r="AB864" s="84"/>
      <c r="AC864" s="84"/>
      <c r="AD864" s="84"/>
      <c r="AE864" s="84"/>
      <c r="AF864" s="84"/>
      <c r="AG864" s="84"/>
      <c r="AH864" s="84"/>
      <c r="AI864" s="84"/>
      <c r="AL864" s="84"/>
      <c r="AM864" s="84"/>
      <c r="AN864" s="84"/>
      <c r="AO864" s="84"/>
      <c r="AP864" s="84"/>
      <c r="AQ864" s="84"/>
      <c r="AR864" s="84"/>
      <c r="AS864" s="84"/>
      <c r="AT864" s="84"/>
      <c r="AU864" s="84"/>
      <c r="AV864" s="84"/>
      <c r="AY864" s="84"/>
      <c r="AZ864" s="84"/>
      <c r="BA864" s="84"/>
      <c r="BB864" s="84"/>
      <c r="BC864" s="84"/>
      <c r="BD864" s="84"/>
      <c r="BE864" s="84"/>
      <c r="BF864" s="942"/>
      <c r="BG864" s="942"/>
      <c r="BH864" s="942"/>
      <c r="BI864" s="84"/>
      <c r="BL864" s="84"/>
      <c r="BM864" s="84"/>
      <c r="BN864" s="84"/>
      <c r="BO864" s="84"/>
      <c r="BP864" s="84"/>
      <c r="BQ864" s="84"/>
      <c r="BR864" s="84"/>
      <c r="BS864" s="942"/>
      <c r="BT864" s="942"/>
      <c r="BU864" s="942"/>
      <c r="BV864" s="84"/>
    </row>
    <row r="865" spans="14:74" ht="14.25">
      <c r="N865" s="84"/>
      <c r="O865" s="84"/>
      <c r="P865" s="84"/>
      <c r="Q865" s="84"/>
      <c r="R865" s="84"/>
      <c r="S865" s="84"/>
      <c r="T865" s="84"/>
      <c r="U865" s="84"/>
      <c r="V865" s="84"/>
      <c r="W865" s="84"/>
      <c r="Y865" s="84"/>
      <c r="Z865" s="84"/>
      <c r="AA865" s="84"/>
      <c r="AB865" s="84"/>
      <c r="AC865" s="84"/>
      <c r="AD865" s="84"/>
      <c r="AE865" s="84"/>
      <c r="AF865" s="84"/>
      <c r="AG865" s="84"/>
      <c r="AH865" s="84"/>
      <c r="AI865" s="84"/>
      <c r="AL865" s="84"/>
      <c r="AM865" s="84"/>
      <c r="AN865" s="84"/>
      <c r="AO865" s="84"/>
      <c r="AP865" s="84"/>
      <c r="AQ865" s="84"/>
      <c r="AR865" s="84"/>
      <c r="AS865" s="84"/>
      <c r="AT865" s="84"/>
      <c r="AU865" s="84"/>
      <c r="AV865" s="84"/>
      <c r="AY865" s="84"/>
      <c r="AZ865" s="84"/>
      <c r="BA865" s="84"/>
      <c r="BB865" s="84"/>
      <c r="BC865" s="84"/>
      <c r="BD865" s="84"/>
      <c r="BE865" s="84"/>
      <c r="BF865" s="942"/>
      <c r="BG865" s="942"/>
      <c r="BH865" s="942"/>
      <c r="BI865" s="84"/>
      <c r="BL865" s="84"/>
      <c r="BM865" s="84"/>
      <c r="BN865" s="84"/>
      <c r="BO865" s="84"/>
      <c r="BP865" s="84"/>
      <c r="BQ865" s="84"/>
      <c r="BR865" s="84"/>
      <c r="BS865" s="942"/>
      <c r="BT865" s="942"/>
      <c r="BU865" s="942"/>
      <c r="BV865" s="84"/>
    </row>
    <row r="866" spans="14:74" ht="14.25">
      <c r="N866" s="84"/>
      <c r="O866" s="84"/>
      <c r="P866" s="84"/>
      <c r="Q866" s="84"/>
      <c r="R866" s="84"/>
      <c r="S866" s="84"/>
      <c r="T866" s="84"/>
      <c r="U866" s="84"/>
      <c r="V866" s="84"/>
      <c r="W866" s="84"/>
      <c r="Y866" s="84"/>
      <c r="Z866" s="84"/>
      <c r="AA866" s="84"/>
      <c r="AB866" s="84"/>
      <c r="AC866" s="84"/>
      <c r="AD866" s="84"/>
      <c r="AE866" s="84"/>
      <c r="AF866" s="84"/>
      <c r="AG866" s="84"/>
      <c r="AH866" s="84"/>
      <c r="AI866" s="84"/>
      <c r="AL866" s="84"/>
      <c r="AM866" s="84"/>
      <c r="AN866" s="84"/>
      <c r="AO866" s="84"/>
      <c r="AP866" s="84"/>
      <c r="AQ866" s="84"/>
      <c r="AR866" s="84"/>
      <c r="AS866" s="84"/>
      <c r="AT866" s="84"/>
      <c r="AU866" s="84"/>
      <c r="AV866" s="84"/>
      <c r="AY866" s="84"/>
      <c r="AZ866" s="84"/>
      <c r="BA866" s="84"/>
      <c r="BB866" s="84"/>
      <c r="BC866" s="84"/>
      <c r="BD866" s="84"/>
      <c r="BE866" s="84"/>
      <c r="BF866" s="942"/>
      <c r="BG866" s="942"/>
      <c r="BH866" s="942"/>
      <c r="BI866" s="84"/>
      <c r="BL866" s="84"/>
      <c r="BM866" s="84"/>
      <c r="BN866" s="84"/>
      <c r="BO866" s="84"/>
      <c r="BP866" s="84"/>
      <c r="BQ866" s="84"/>
      <c r="BR866" s="84"/>
      <c r="BS866" s="942"/>
      <c r="BT866" s="942"/>
      <c r="BU866" s="942"/>
      <c r="BV866" s="84"/>
    </row>
    <row r="867" spans="14:74" ht="14.25">
      <c r="N867" s="84"/>
      <c r="O867" s="84"/>
      <c r="P867" s="84"/>
      <c r="Q867" s="84"/>
      <c r="R867" s="84"/>
      <c r="S867" s="84"/>
      <c r="T867" s="84"/>
      <c r="U867" s="84"/>
      <c r="V867" s="84"/>
      <c r="W867" s="84"/>
      <c r="Y867" s="84"/>
      <c r="Z867" s="84"/>
      <c r="AA867" s="84"/>
      <c r="AB867" s="84"/>
      <c r="AC867" s="84"/>
      <c r="AD867" s="84"/>
      <c r="AE867" s="84"/>
      <c r="AF867" s="84"/>
      <c r="AG867" s="84"/>
      <c r="AH867" s="84"/>
      <c r="AI867" s="84"/>
      <c r="AL867" s="84"/>
      <c r="AM867" s="84"/>
      <c r="AN867" s="84"/>
      <c r="AO867" s="84"/>
      <c r="AP867" s="84"/>
      <c r="AQ867" s="84"/>
      <c r="AR867" s="84"/>
      <c r="AS867" s="84"/>
      <c r="AT867" s="84"/>
      <c r="AU867" s="84"/>
      <c r="AV867" s="84"/>
      <c r="AY867" s="84"/>
      <c r="AZ867" s="84"/>
      <c r="BA867" s="84"/>
      <c r="BB867" s="84"/>
      <c r="BC867" s="84"/>
      <c r="BD867" s="84"/>
      <c r="BE867" s="84"/>
      <c r="BF867" s="942"/>
      <c r="BG867" s="942"/>
      <c r="BH867" s="942"/>
      <c r="BI867" s="84"/>
      <c r="BL867" s="84"/>
      <c r="BM867" s="84"/>
      <c r="BN867" s="84"/>
      <c r="BO867" s="84"/>
      <c r="BP867" s="84"/>
      <c r="BQ867" s="84"/>
      <c r="BR867" s="84"/>
      <c r="BS867" s="942"/>
      <c r="BT867" s="942"/>
      <c r="BU867" s="942"/>
      <c r="BV867" s="84"/>
    </row>
    <row r="868" spans="14:74" ht="14.25">
      <c r="N868" s="84"/>
      <c r="O868" s="84"/>
      <c r="P868" s="84"/>
      <c r="Q868" s="84"/>
      <c r="R868" s="84"/>
      <c r="S868" s="84"/>
      <c r="T868" s="84"/>
      <c r="U868" s="84"/>
      <c r="V868" s="84"/>
      <c r="W868" s="84"/>
      <c r="Y868" s="84"/>
      <c r="Z868" s="84"/>
      <c r="AA868" s="84"/>
      <c r="AB868" s="84"/>
      <c r="AC868" s="84"/>
      <c r="AD868" s="84"/>
      <c r="AE868" s="84"/>
      <c r="AF868" s="84"/>
      <c r="AG868" s="84"/>
      <c r="AH868" s="84"/>
      <c r="AI868" s="84"/>
      <c r="AL868" s="84"/>
      <c r="AM868" s="84"/>
      <c r="AN868" s="84"/>
      <c r="AO868" s="84"/>
      <c r="AP868" s="84"/>
      <c r="AQ868" s="84"/>
      <c r="AR868" s="84"/>
      <c r="AS868" s="84"/>
      <c r="AT868" s="84"/>
      <c r="AU868" s="84"/>
      <c r="AV868" s="84"/>
      <c r="AY868" s="84"/>
      <c r="AZ868" s="84"/>
      <c r="BA868" s="84"/>
      <c r="BB868" s="84"/>
      <c r="BC868" s="84"/>
      <c r="BD868" s="84"/>
      <c r="BE868" s="84"/>
      <c r="BF868" s="942"/>
      <c r="BG868" s="942"/>
      <c r="BH868" s="942"/>
      <c r="BI868" s="84"/>
      <c r="BL868" s="84"/>
      <c r="BM868" s="84"/>
      <c r="BN868" s="84"/>
      <c r="BO868" s="84"/>
      <c r="BP868" s="84"/>
      <c r="BQ868" s="84"/>
      <c r="BR868" s="84"/>
      <c r="BS868" s="942"/>
      <c r="BT868" s="942"/>
      <c r="BU868" s="942"/>
      <c r="BV868" s="84"/>
    </row>
    <row r="869" spans="14:74" ht="14.25">
      <c r="N869" s="84"/>
      <c r="O869" s="84"/>
      <c r="P869" s="84"/>
      <c r="Q869" s="84"/>
      <c r="R869" s="84"/>
      <c r="S869" s="84"/>
      <c r="T869" s="84"/>
      <c r="U869" s="84"/>
      <c r="V869" s="84"/>
      <c r="W869" s="84"/>
      <c r="Y869" s="84"/>
      <c r="Z869" s="84"/>
      <c r="AA869" s="84"/>
      <c r="AB869" s="84"/>
      <c r="AC869" s="84"/>
      <c r="AD869" s="84"/>
      <c r="AE869" s="84"/>
      <c r="AF869" s="84"/>
      <c r="AG869" s="84"/>
      <c r="AH869" s="84"/>
      <c r="AI869" s="84"/>
      <c r="AL869" s="84"/>
      <c r="AM869" s="84"/>
      <c r="AN869" s="84"/>
      <c r="AO869" s="84"/>
      <c r="AP869" s="84"/>
      <c r="AQ869" s="84"/>
      <c r="AR869" s="84"/>
      <c r="AS869" s="84"/>
      <c r="AT869" s="84"/>
      <c r="AU869" s="84"/>
      <c r="AV869" s="84"/>
      <c r="AY869" s="84"/>
      <c r="AZ869" s="84"/>
      <c r="BA869" s="84"/>
      <c r="BB869" s="84"/>
      <c r="BC869" s="84"/>
      <c r="BD869" s="84"/>
      <c r="BE869" s="84"/>
      <c r="BF869" s="942"/>
      <c r="BG869" s="942"/>
      <c r="BH869" s="942"/>
      <c r="BI869" s="84"/>
      <c r="BL869" s="84"/>
      <c r="BM869" s="84"/>
      <c r="BN869" s="84"/>
      <c r="BO869" s="84"/>
      <c r="BP869" s="84"/>
      <c r="BQ869" s="84"/>
      <c r="BR869" s="84"/>
      <c r="BS869" s="942"/>
      <c r="BT869" s="942"/>
      <c r="BU869" s="942"/>
      <c r="BV869" s="84"/>
    </row>
    <row r="870" spans="14:74" ht="14.25">
      <c r="N870" s="84"/>
      <c r="O870" s="84"/>
      <c r="P870" s="84"/>
      <c r="Q870" s="84"/>
      <c r="R870" s="84"/>
      <c r="S870" s="84"/>
      <c r="T870" s="84"/>
      <c r="U870" s="84"/>
      <c r="V870" s="84"/>
      <c r="W870" s="84"/>
      <c r="Y870" s="84"/>
      <c r="Z870" s="84"/>
      <c r="AA870" s="84"/>
      <c r="AB870" s="84"/>
      <c r="AC870" s="84"/>
      <c r="AD870" s="84"/>
      <c r="AE870" s="84"/>
      <c r="AF870" s="84"/>
      <c r="AG870" s="84"/>
      <c r="AH870" s="84"/>
      <c r="AI870" s="84"/>
      <c r="AL870" s="84"/>
      <c r="AM870" s="84"/>
      <c r="AN870" s="84"/>
      <c r="AO870" s="84"/>
      <c r="AP870" s="84"/>
      <c r="AQ870" s="84"/>
      <c r="AR870" s="84"/>
      <c r="AS870" s="84"/>
      <c r="AT870" s="84"/>
      <c r="AU870" s="84"/>
      <c r="AV870" s="84"/>
      <c r="AY870" s="84"/>
      <c r="AZ870" s="84"/>
      <c r="BA870" s="84"/>
      <c r="BB870" s="84"/>
      <c r="BC870" s="84"/>
      <c r="BD870" s="84"/>
      <c r="BE870" s="84"/>
      <c r="BF870" s="942"/>
      <c r="BG870" s="942"/>
      <c r="BH870" s="942"/>
      <c r="BI870" s="84"/>
      <c r="BL870" s="84"/>
      <c r="BM870" s="84"/>
      <c r="BN870" s="84"/>
      <c r="BO870" s="84"/>
      <c r="BP870" s="84"/>
      <c r="BQ870" s="84"/>
      <c r="BR870" s="84"/>
      <c r="BS870" s="942"/>
      <c r="BT870" s="942"/>
      <c r="BU870" s="942"/>
      <c r="BV870" s="84"/>
    </row>
    <row r="871" spans="14:74" ht="14.25">
      <c r="N871" s="84"/>
      <c r="O871" s="84"/>
      <c r="P871" s="84"/>
      <c r="Q871" s="84"/>
      <c r="R871" s="84"/>
      <c r="S871" s="84"/>
      <c r="T871" s="84"/>
      <c r="U871" s="84"/>
      <c r="V871" s="84"/>
      <c r="W871" s="84"/>
      <c r="Y871" s="84"/>
      <c r="Z871" s="84"/>
      <c r="AA871" s="84"/>
      <c r="AB871" s="84"/>
      <c r="AC871" s="84"/>
      <c r="AD871" s="84"/>
      <c r="AE871" s="84"/>
      <c r="AF871" s="84"/>
      <c r="AG871" s="84"/>
      <c r="AH871" s="84"/>
      <c r="AI871" s="84"/>
      <c r="AL871" s="84"/>
      <c r="AM871" s="84"/>
      <c r="AN871" s="84"/>
      <c r="AO871" s="84"/>
      <c r="AP871" s="84"/>
      <c r="AQ871" s="84"/>
      <c r="AR871" s="84"/>
      <c r="AS871" s="84"/>
      <c r="AT871" s="84"/>
      <c r="AU871" s="84"/>
      <c r="AV871" s="84"/>
      <c r="AY871" s="84"/>
      <c r="AZ871" s="84"/>
      <c r="BA871" s="84"/>
      <c r="BB871" s="84"/>
      <c r="BC871" s="84"/>
      <c r="BD871" s="84"/>
      <c r="BE871" s="84"/>
      <c r="BF871" s="942"/>
      <c r="BG871" s="942"/>
      <c r="BH871" s="942"/>
      <c r="BI871" s="84"/>
      <c r="BL871" s="84"/>
      <c r="BM871" s="84"/>
      <c r="BN871" s="84"/>
      <c r="BO871" s="84"/>
      <c r="BP871" s="84"/>
      <c r="BQ871" s="84"/>
      <c r="BR871" s="84"/>
      <c r="BS871" s="942"/>
      <c r="BT871" s="942"/>
      <c r="BU871" s="942"/>
      <c r="BV871" s="84"/>
    </row>
    <row r="872" spans="14:74" ht="14.25">
      <c r="N872" s="84"/>
      <c r="O872" s="84"/>
      <c r="P872" s="84"/>
      <c r="Q872" s="84"/>
      <c r="R872" s="84"/>
      <c r="S872" s="84"/>
      <c r="T872" s="84"/>
      <c r="U872" s="84"/>
      <c r="V872" s="84"/>
      <c r="W872" s="84"/>
      <c r="Y872" s="84"/>
      <c r="Z872" s="84"/>
      <c r="AA872" s="84"/>
      <c r="AB872" s="84"/>
      <c r="AC872" s="84"/>
      <c r="AD872" s="84"/>
      <c r="AE872" s="84"/>
      <c r="AF872" s="84"/>
      <c r="AG872" s="84"/>
      <c r="AH872" s="84"/>
      <c r="AI872" s="84"/>
      <c r="AL872" s="84"/>
      <c r="AM872" s="84"/>
      <c r="AN872" s="84"/>
      <c r="AO872" s="84"/>
      <c r="AP872" s="84"/>
      <c r="AQ872" s="84"/>
      <c r="AR872" s="84"/>
      <c r="AS872" s="84"/>
      <c r="AT872" s="84"/>
      <c r="AU872" s="84"/>
      <c r="AV872" s="84"/>
      <c r="AY872" s="84"/>
      <c r="AZ872" s="84"/>
      <c r="BA872" s="84"/>
      <c r="BB872" s="84"/>
      <c r="BC872" s="84"/>
      <c r="BD872" s="84"/>
      <c r="BE872" s="84"/>
      <c r="BF872" s="942"/>
      <c r="BG872" s="942"/>
      <c r="BH872" s="942"/>
      <c r="BI872" s="84"/>
      <c r="BL872" s="84"/>
      <c r="BM872" s="84"/>
      <c r="BN872" s="84"/>
      <c r="BO872" s="84"/>
      <c r="BP872" s="84"/>
      <c r="BQ872" s="84"/>
      <c r="BR872" s="84"/>
      <c r="BS872" s="942"/>
      <c r="BT872" s="942"/>
      <c r="BU872" s="942"/>
      <c r="BV872" s="84"/>
    </row>
    <row r="873" spans="14:74" ht="14.25">
      <c r="N873" s="84"/>
      <c r="O873" s="84"/>
      <c r="P873" s="84"/>
      <c r="Q873" s="84"/>
      <c r="R873" s="84"/>
      <c r="S873" s="84"/>
      <c r="T873" s="84"/>
      <c r="U873" s="84"/>
      <c r="V873" s="84"/>
      <c r="W873" s="84"/>
      <c r="Y873" s="84"/>
      <c r="Z873" s="84"/>
      <c r="AA873" s="84"/>
      <c r="AB873" s="84"/>
      <c r="AC873" s="84"/>
      <c r="AD873" s="84"/>
      <c r="AE873" s="84"/>
      <c r="AF873" s="84"/>
      <c r="AG873" s="84"/>
      <c r="AH873" s="84"/>
      <c r="AI873" s="84"/>
      <c r="AL873" s="84"/>
      <c r="AM873" s="84"/>
      <c r="AN873" s="84"/>
      <c r="AO873" s="84"/>
      <c r="AP873" s="84"/>
      <c r="AQ873" s="84"/>
      <c r="AR873" s="84"/>
      <c r="AS873" s="84"/>
      <c r="AT873" s="84"/>
      <c r="AU873" s="84"/>
      <c r="AV873" s="84"/>
      <c r="AY873" s="84"/>
      <c r="AZ873" s="84"/>
      <c r="BA873" s="84"/>
      <c r="BB873" s="84"/>
      <c r="BC873" s="84"/>
      <c r="BD873" s="84"/>
      <c r="BE873" s="84"/>
      <c r="BF873" s="942"/>
      <c r="BG873" s="942"/>
      <c r="BH873" s="942"/>
      <c r="BI873" s="84"/>
      <c r="BL873" s="84"/>
      <c r="BM873" s="84"/>
      <c r="BN873" s="84"/>
      <c r="BO873" s="84"/>
      <c r="BP873" s="84"/>
      <c r="BQ873" s="84"/>
      <c r="BR873" s="84"/>
      <c r="BS873" s="942"/>
      <c r="BT873" s="942"/>
      <c r="BU873" s="942"/>
      <c r="BV873" s="84"/>
    </row>
    <row r="874" spans="14:74" ht="14.25">
      <c r="N874" s="84"/>
      <c r="O874" s="84"/>
      <c r="P874" s="84"/>
      <c r="Q874" s="84"/>
      <c r="R874" s="84"/>
      <c r="S874" s="84"/>
      <c r="T874" s="84"/>
      <c r="U874" s="84"/>
      <c r="V874" s="84"/>
      <c r="W874" s="84"/>
      <c r="Y874" s="84"/>
      <c r="Z874" s="84"/>
      <c r="AA874" s="84"/>
      <c r="AB874" s="84"/>
      <c r="AC874" s="84"/>
      <c r="AD874" s="84"/>
      <c r="AE874" s="84"/>
      <c r="AF874" s="84"/>
      <c r="AG874" s="84"/>
      <c r="AH874" s="84"/>
      <c r="AI874" s="84"/>
      <c r="AL874" s="84"/>
      <c r="AM874" s="84"/>
      <c r="AN874" s="84"/>
      <c r="AO874" s="84"/>
      <c r="AP874" s="84"/>
      <c r="AQ874" s="84"/>
      <c r="AR874" s="84"/>
      <c r="AS874" s="84"/>
      <c r="AT874" s="84"/>
      <c r="AU874" s="84"/>
      <c r="AV874" s="84"/>
      <c r="AY874" s="84"/>
      <c r="AZ874" s="84"/>
      <c r="BA874" s="84"/>
      <c r="BB874" s="84"/>
      <c r="BC874" s="84"/>
      <c r="BD874" s="84"/>
      <c r="BE874" s="84"/>
      <c r="BF874" s="942"/>
      <c r="BG874" s="942"/>
      <c r="BH874" s="942"/>
      <c r="BI874" s="84"/>
      <c r="BL874" s="84"/>
      <c r="BM874" s="84"/>
      <c r="BN874" s="84"/>
      <c r="BO874" s="84"/>
      <c r="BP874" s="84"/>
      <c r="BQ874" s="84"/>
      <c r="BR874" s="84"/>
      <c r="BS874" s="942"/>
      <c r="BT874" s="942"/>
      <c r="BU874" s="942"/>
      <c r="BV874" s="84"/>
    </row>
    <row r="875" spans="14:74" ht="14.25">
      <c r="N875" s="84"/>
      <c r="O875" s="84"/>
      <c r="P875" s="84"/>
      <c r="Q875" s="84"/>
      <c r="R875" s="84"/>
      <c r="S875" s="84"/>
      <c r="T875" s="84"/>
      <c r="U875" s="84"/>
      <c r="V875" s="84"/>
      <c r="W875" s="84"/>
      <c r="Y875" s="84"/>
      <c r="Z875" s="84"/>
      <c r="AA875" s="84"/>
      <c r="AB875" s="84"/>
      <c r="AC875" s="84"/>
      <c r="AD875" s="84"/>
      <c r="AE875" s="84"/>
      <c r="AF875" s="84"/>
      <c r="AG875" s="84"/>
      <c r="AH875" s="84"/>
      <c r="AI875" s="84"/>
      <c r="AL875" s="84"/>
      <c r="AM875" s="84"/>
      <c r="AN875" s="84"/>
      <c r="AO875" s="84"/>
      <c r="AP875" s="84"/>
      <c r="AQ875" s="84"/>
      <c r="AR875" s="84"/>
      <c r="AS875" s="84"/>
      <c r="AT875" s="84"/>
      <c r="AU875" s="84"/>
      <c r="AV875" s="84"/>
      <c r="AY875" s="84"/>
      <c r="AZ875" s="84"/>
      <c r="BA875" s="84"/>
      <c r="BB875" s="84"/>
      <c r="BC875" s="84"/>
      <c r="BD875" s="84"/>
      <c r="BE875" s="84"/>
      <c r="BF875" s="942"/>
      <c r="BG875" s="942"/>
      <c r="BH875" s="942"/>
      <c r="BI875" s="84"/>
      <c r="BL875" s="84"/>
      <c r="BM875" s="84"/>
      <c r="BN875" s="84"/>
      <c r="BO875" s="84"/>
      <c r="BP875" s="84"/>
      <c r="BQ875" s="84"/>
      <c r="BR875" s="84"/>
      <c r="BS875" s="942"/>
      <c r="BT875" s="942"/>
      <c r="BU875" s="942"/>
      <c r="BV875" s="84"/>
    </row>
    <row r="876" spans="14:74" ht="14.25">
      <c r="N876" s="84"/>
      <c r="O876" s="84"/>
      <c r="P876" s="84"/>
      <c r="Q876" s="84"/>
      <c r="R876" s="84"/>
      <c r="S876" s="84"/>
      <c r="T876" s="84"/>
      <c r="U876" s="84"/>
      <c r="V876" s="84"/>
      <c r="W876" s="84"/>
      <c r="Y876" s="84"/>
      <c r="Z876" s="84"/>
      <c r="AA876" s="84"/>
      <c r="AB876" s="84"/>
      <c r="AC876" s="84"/>
      <c r="AD876" s="84"/>
      <c r="AE876" s="84"/>
      <c r="AF876" s="84"/>
      <c r="AG876" s="84"/>
      <c r="AH876" s="84"/>
      <c r="AI876" s="84"/>
      <c r="AL876" s="84"/>
      <c r="AM876" s="84"/>
      <c r="AN876" s="84"/>
      <c r="AO876" s="84"/>
      <c r="AP876" s="84"/>
      <c r="AQ876" s="84"/>
      <c r="AR876" s="84"/>
      <c r="AS876" s="84"/>
      <c r="AT876" s="84"/>
      <c r="AU876" s="84"/>
      <c r="AV876" s="84"/>
      <c r="AY876" s="84"/>
      <c r="AZ876" s="84"/>
      <c r="BA876" s="84"/>
      <c r="BB876" s="84"/>
      <c r="BC876" s="84"/>
      <c r="BD876" s="84"/>
      <c r="BE876" s="84"/>
      <c r="BF876" s="942"/>
      <c r="BG876" s="942"/>
      <c r="BH876" s="942"/>
      <c r="BI876" s="84"/>
      <c r="BL876" s="84"/>
      <c r="BM876" s="84"/>
      <c r="BN876" s="84"/>
      <c r="BO876" s="84"/>
      <c r="BP876" s="84"/>
      <c r="BQ876" s="84"/>
      <c r="BR876" s="84"/>
      <c r="BS876" s="942"/>
      <c r="BT876" s="942"/>
      <c r="BU876" s="942"/>
      <c r="BV876" s="84"/>
    </row>
    <row r="877" spans="14:74" ht="14.25">
      <c r="N877" s="84"/>
      <c r="O877" s="84"/>
      <c r="P877" s="84"/>
      <c r="Q877" s="84"/>
      <c r="R877" s="84"/>
      <c r="S877" s="84"/>
      <c r="T877" s="84"/>
      <c r="U877" s="84"/>
      <c r="V877" s="84"/>
      <c r="W877" s="84"/>
      <c r="Y877" s="84"/>
      <c r="Z877" s="84"/>
      <c r="AA877" s="84"/>
      <c r="AB877" s="84"/>
      <c r="AC877" s="84"/>
      <c r="AD877" s="84"/>
      <c r="AE877" s="84"/>
      <c r="AF877" s="84"/>
      <c r="AG877" s="84"/>
      <c r="AH877" s="84"/>
      <c r="AI877" s="84"/>
      <c r="AL877" s="84"/>
      <c r="AM877" s="84"/>
      <c r="AN877" s="84"/>
      <c r="AO877" s="84"/>
      <c r="AP877" s="84"/>
      <c r="AQ877" s="84"/>
      <c r="AR877" s="84"/>
      <c r="AS877" s="84"/>
      <c r="AT877" s="84"/>
      <c r="AU877" s="84"/>
      <c r="AV877" s="84"/>
      <c r="AY877" s="84"/>
      <c r="AZ877" s="84"/>
      <c r="BA877" s="84"/>
      <c r="BB877" s="84"/>
      <c r="BC877" s="84"/>
      <c r="BD877" s="84"/>
      <c r="BE877" s="84"/>
      <c r="BF877" s="942"/>
      <c r="BG877" s="942"/>
      <c r="BH877" s="942"/>
      <c r="BI877" s="84"/>
      <c r="BL877" s="84"/>
      <c r="BM877" s="84"/>
      <c r="BN877" s="84"/>
      <c r="BO877" s="84"/>
      <c r="BP877" s="84"/>
      <c r="BQ877" s="84"/>
      <c r="BR877" s="84"/>
      <c r="BS877" s="942"/>
      <c r="BT877" s="942"/>
      <c r="BU877" s="942"/>
      <c r="BV877" s="84"/>
    </row>
    <row r="878" spans="14:74" ht="14.25">
      <c r="N878" s="84"/>
      <c r="O878" s="84"/>
      <c r="P878" s="84"/>
      <c r="Q878" s="84"/>
      <c r="R878" s="84"/>
      <c r="S878" s="84"/>
      <c r="T878" s="84"/>
      <c r="U878" s="84"/>
      <c r="V878" s="84"/>
      <c r="W878" s="84"/>
      <c r="Y878" s="84"/>
      <c r="Z878" s="84"/>
      <c r="AA878" s="84"/>
      <c r="AB878" s="84"/>
      <c r="AC878" s="84"/>
      <c r="AD878" s="84"/>
      <c r="AE878" s="84"/>
      <c r="AF878" s="84"/>
      <c r="AG878" s="84"/>
      <c r="AH878" s="84"/>
      <c r="AI878" s="84"/>
      <c r="AL878" s="84"/>
      <c r="AM878" s="84"/>
      <c r="AN878" s="84"/>
      <c r="AO878" s="84"/>
      <c r="AP878" s="84"/>
      <c r="AQ878" s="84"/>
      <c r="AR878" s="84"/>
      <c r="AS878" s="84"/>
      <c r="AT878" s="84"/>
      <c r="AU878" s="84"/>
      <c r="AV878" s="84"/>
      <c r="AY878" s="84"/>
      <c r="AZ878" s="84"/>
      <c r="BA878" s="84"/>
      <c r="BB878" s="84"/>
      <c r="BC878" s="84"/>
      <c r="BD878" s="84"/>
      <c r="BE878" s="84"/>
      <c r="BF878" s="942"/>
      <c r="BG878" s="942"/>
      <c r="BH878" s="942"/>
      <c r="BI878" s="84"/>
      <c r="BL878" s="84"/>
      <c r="BM878" s="84"/>
      <c r="BN878" s="84"/>
      <c r="BO878" s="84"/>
      <c r="BP878" s="84"/>
      <c r="BQ878" s="84"/>
      <c r="BR878" s="84"/>
      <c r="BS878" s="942"/>
      <c r="BT878" s="942"/>
      <c r="BU878" s="942"/>
      <c r="BV878" s="84"/>
    </row>
    <row r="879" spans="14:74" ht="14.25">
      <c r="N879" s="84"/>
      <c r="O879" s="84"/>
      <c r="P879" s="84"/>
      <c r="Q879" s="84"/>
      <c r="R879" s="84"/>
      <c r="S879" s="84"/>
      <c r="T879" s="84"/>
      <c r="U879" s="84"/>
      <c r="V879" s="84"/>
      <c r="W879" s="84"/>
      <c r="Y879" s="84"/>
      <c r="Z879" s="84"/>
      <c r="AA879" s="84"/>
      <c r="AB879" s="84"/>
      <c r="AC879" s="84"/>
      <c r="AD879" s="84"/>
      <c r="AE879" s="84"/>
      <c r="AF879" s="84"/>
      <c r="AG879" s="84"/>
      <c r="AH879" s="84"/>
      <c r="AI879" s="84"/>
      <c r="AL879" s="84"/>
      <c r="AM879" s="84"/>
      <c r="AN879" s="84"/>
      <c r="AO879" s="84"/>
      <c r="AP879" s="84"/>
      <c r="AQ879" s="84"/>
      <c r="AR879" s="84"/>
      <c r="AS879" s="84"/>
      <c r="AT879" s="84"/>
      <c r="AU879" s="84"/>
      <c r="AV879" s="84"/>
      <c r="AY879" s="84"/>
      <c r="AZ879" s="84"/>
      <c r="BA879" s="84"/>
      <c r="BB879" s="84"/>
      <c r="BC879" s="84"/>
      <c r="BD879" s="84"/>
      <c r="BE879" s="84"/>
      <c r="BF879" s="942"/>
      <c r="BG879" s="942"/>
      <c r="BH879" s="942"/>
      <c r="BI879" s="84"/>
      <c r="BL879" s="84"/>
      <c r="BM879" s="84"/>
      <c r="BN879" s="84"/>
      <c r="BO879" s="84"/>
      <c r="BP879" s="84"/>
      <c r="BQ879" s="84"/>
      <c r="BR879" s="84"/>
      <c r="BS879" s="942"/>
      <c r="BT879" s="942"/>
      <c r="BU879" s="942"/>
      <c r="BV879" s="84"/>
    </row>
    <row r="880" spans="14:74" ht="14.25">
      <c r="N880" s="84"/>
      <c r="O880" s="84"/>
      <c r="P880" s="84"/>
      <c r="Q880" s="84"/>
      <c r="R880" s="84"/>
      <c r="S880" s="84"/>
      <c r="T880" s="84"/>
      <c r="U880" s="84"/>
      <c r="V880" s="84"/>
      <c r="W880" s="84"/>
      <c r="Y880" s="84"/>
      <c r="Z880" s="84"/>
      <c r="AA880" s="84"/>
      <c r="AB880" s="84"/>
      <c r="AC880" s="84"/>
      <c r="AD880" s="84"/>
      <c r="AE880" s="84"/>
      <c r="AF880" s="84"/>
      <c r="AG880" s="84"/>
      <c r="AH880" s="84"/>
      <c r="AI880" s="84"/>
      <c r="AL880" s="84"/>
      <c r="AM880" s="84"/>
      <c r="AN880" s="84"/>
      <c r="AO880" s="84"/>
      <c r="AP880" s="84"/>
      <c r="AQ880" s="84"/>
      <c r="AR880" s="84"/>
      <c r="AS880" s="84"/>
      <c r="AT880" s="84"/>
      <c r="AU880" s="84"/>
      <c r="AV880" s="84"/>
      <c r="AY880" s="84"/>
      <c r="AZ880" s="84"/>
      <c r="BA880" s="84"/>
      <c r="BB880" s="84"/>
      <c r="BC880" s="84"/>
      <c r="BD880" s="84"/>
      <c r="BE880" s="84"/>
      <c r="BF880" s="942"/>
      <c r="BG880" s="942"/>
      <c r="BH880" s="942"/>
      <c r="BI880" s="84"/>
      <c r="BL880" s="84"/>
      <c r="BM880" s="84"/>
      <c r="BN880" s="84"/>
      <c r="BO880" s="84"/>
      <c r="BP880" s="84"/>
      <c r="BQ880" s="84"/>
      <c r="BR880" s="84"/>
      <c r="BS880" s="942"/>
      <c r="BT880" s="942"/>
      <c r="BU880" s="942"/>
      <c r="BV880" s="84"/>
    </row>
    <row r="881" spans="14:74" ht="14.25">
      <c r="N881" s="84"/>
      <c r="O881" s="84"/>
      <c r="P881" s="84"/>
      <c r="Q881" s="84"/>
      <c r="R881" s="84"/>
      <c r="S881" s="84"/>
      <c r="T881" s="84"/>
      <c r="U881" s="84"/>
      <c r="V881" s="84"/>
      <c r="W881" s="84"/>
      <c r="Y881" s="84"/>
      <c r="Z881" s="84"/>
      <c r="AA881" s="84"/>
      <c r="AB881" s="84"/>
      <c r="AC881" s="84"/>
      <c r="AD881" s="84"/>
      <c r="AE881" s="84"/>
      <c r="AF881" s="84"/>
      <c r="AG881" s="84"/>
      <c r="AH881" s="84"/>
      <c r="AI881" s="84"/>
      <c r="AL881" s="84"/>
      <c r="AM881" s="84"/>
      <c r="AN881" s="84"/>
      <c r="AO881" s="84"/>
      <c r="AP881" s="84"/>
      <c r="AQ881" s="84"/>
      <c r="AR881" s="84"/>
      <c r="AS881" s="84"/>
      <c r="AT881" s="84"/>
      <c r="AU881" s="84"/>
      <c r="AV881" s="84"/>
      <c r="AY881" s="84"/>
      <c r="AZ881" s="84"/>
      <c r="BA881" s="84"/>
      <c r="BB881" s="84"/>
      <c r="BC881" s="84"/>
      <c r="BD881" s="84"/>
      <c r="BE881" s="84"/>
      <c r="BF881" s="942"/>
      <c r="BG881" s="942"/>
      <c r="BH881" s="942"/>
      <c r="BI881" s="84"/>
      <c r="BL881" s="84"/>
      <c r="BM881" s="84"/>
      <c r="BN881" s="84"/>
      <c r="BO881" s="84"/>
      <c r="BP881" s="84"/>
      <c r="BQ881" s="84"/>
      <c r="BR881" s="84"/>
      <c r="BS881" s="942"/>
      <c r="BT881" s="942"/>
      <c r="BU881" s="942"/>
      <c r="BV881" s="84"/>
    </row>
    <row r="882" spans="14:74" ht="14.25">
      <c r="N882" s="84"/>
      <c r="O882" s="84"/>
      <c r="P882" s="84"/>
      <c r="Q882" s="84"/>
      <c r="R882" s="84"/>
      <c r="S882" s="84"/>
      <c r="T882" s="84"/>
      <c r="U882" s="84"/>
      <c r="V882" s="84"/>
      <c r="W882" s="84"/>
      <c r="Y882" s="84"/>
      <c r="Z882" s="84"/>
      <c r="AA882" s="84"/>
      <c r="AB882" s="84"/>
      <c r="AC882" s="84"/>
      <c r="AD882" s="84"/>
      <c r="AE882" s="84"/>
      <c r="AF882" s="84"/>
      <c r="AG882" s="84"/>
      <c r="AH882" s="84"/>
      <c r="AI882" s="84"/>
      <c r="AL882" s="84"/>
      <c r="AM882" s="84"/>
      <c r="AN882" s="84"/>
      <c r="AO882" s="84"/>
      <c r="AP882" s="84"/>
      <c r="AQ882" s="84"/>
      <c r="AR882" s="84"/>
      <c r="AS882" s="84"/>
      <c r="AT882" s="84"/>
      <c r="AU882" s="84"/>
      <c r="AV882" s="84"/>
      <c r="AY882" s="84"/>
      <c r="AZ882" s="84"/>
      <c r="BA882" s="84"/>
      <c r="BB882" s="84"/>
      <c r="BC882" s="84"/>
      <c r="BD882" s="84"/>
      <c r="BE882" s="84"/>
      <c r="BF882" s="942"/>
      <c r="BG882" s="942"/>
      <c r="BH882" s="942"/>
      <c r="BI882" s="84"/>
      <c r="BL882" s="84"/>
      <c r="BM882" s="84"/>
      <c r="BN882" s="84"/>
      <c r="BO882" s="84"/>
      <c r="BP882" s="84"/>
      <c r="BQ882" s="84"/>
      <c r="BR882" s="84"/>
      <c r="BS882" s="942"/>
      <c r="BT882" s="942"/>
      <c r="BU882" s="942"/>
      <c r="BV882" s="84"/>
    </row>
    <row r="883" spans="14:74" ht="14.25">
      <c r="N883" s="84"/>
      <c r="O883" s="84"/>
      <c r="P883" s="84"/>
      <c r="Q883" s="84"/>
      <c r="R883" s="84"/>
      <c r="S883" s="84"/>
      <c r="T883" s="84"/>
      <c r="U883" s="84"/>
      <c r="V883" s="84"/>
      <c r="W883" s="84"/>
      <c r="Y883" s="84"/>
      <c r="Z883" s="84"/>
      <c r="AA883" s="84"/>
      <c r="AB883" s="84"/>
      <c r="AC883" s="84"/>
      <c r="AD883" s="84"/>
      <c r="AE883" s="84"/>
      <c r="AF883" s="84"/>
      <c r="AG883" s="84"/>
      <c r="AH883" s="84"/>
      <c r="AI883" s="84"/>
      <c r="AL883" s="84"/>
      <c r="AM883" s="84"/>
      <c r="AN883" s="84"/>
      <c r="AO883" s="84"/>
      <c r="AP883" s="84"/>
      <c r="AQ883" s="84"/>
      <c r="AR883" s="84"/>
      <c r="AS883" s="84"/>
      <c r="AT883" s="84"/>
      <c r="AU883" s="84"/>
      <c r="AV883" s="84"/>
      <c r="AY883" s="84"/>
      <c r="AZ883" s="84"/>
      <c r="BA883" s="84"/>
      <c r="BB883" s="84"/>
      <c r="BC883" s="84"/>
      <c r="BD883" s="84"/>
      <c r="BE883" s="84"/>
      <c r="BF883" s="942"/>
      <c r="BG883" s="942"/>
      <c r="BH883" s="942"/>
      <c r="BI883" s="84"/>
      <c r="BL883" s="84"/>
      <c r="BM883" s="84"/>
      <c r="BN883" s="84"/>
      <c r="BO883" s="84"/>
      <c r="BP883" s="84"/>
      <c r="BQ883" s="84"/>
      <c r="BR883" s="84"/>
      <c r="BS883" s="942"/>
      <c r="BT883" s="942"/>
      <c r="BU883" s="942"/>
      <c r="BV883" s="84"/>
    </row>
    <row r="884" spans="14:74" ht="14.25">
      <c r="N884" s="84"/>
      <c r="O884" s="84"/>
      <c r="P884" s="84"/>
      <c r="Q884" s="84"/>
      <c r="R884" s="84"/>
      <c r="S884" s="84"/>
      <c r="T884" s="84"/>
      <c r="U884" s="84"/>
      <c r="V884" s="84"/>
      <c r="W884" s="84"/>
      <c r="Y884" s="84"/>
      <c r="Z884" s="84"/>
      <c r="AA884" s="84"/>
      <c r="AB884" s="84"/>
      <c r="AC884" s="84"/>
      <c r="AD884" s="84"/>
      <c r="AE884" s="84"/>
      <c r="AF884" s="84"/>
      <c r="AG884" s="84"/>
      <c r="AH884" s="84"/>
      <c r="AI884" s="84"/>
      <c r="AL884" s="84"/>
      <c r="AM884" s="84"/>
      <c r="AN884" s="84"/>
      <c r="AO884" s="84"/>
      <c r="AP884" s="84"/>
      <c r="AQ884" s="84"/>
      <c r="AR884" s="84"/>
      <c r="AS884" s="84"/>
      <c r="AT884" s="84"/>
      <c r="AU884" s="84"/>
      <c r="AV884" s="84"/>
      <c r="AY884" s="84"/>
      <c r="AZ884" s="84"/>
      <c r="BA884" s="84"/>
      <c r="BB884" s="84"/>
      <c r="BC884" s="84"/>
      <c r="BD884" s="84"/>
      <c r="BE884" s="84"/>
      <c r="BF884" s="942"/>
      <c r="BG884" s="942"/>
      <c r="BH884" s="942"/>
      <c r="BI884" s="84"/>
      <c r="BL884" s="84"/>
      <c r="BM884" s="84"/>
      <c r="BN884" s="84"/>
      <c r="BO884" s="84"/>
      <c r="BP884" s="84"/>
      <c r="BQ884" s="84"/>
      <c r="BR884" s="84"/>
      <c r="BS884" s="942"/>
      <c r="BT884" s="942"/>
      <c r="BU884" s="942"/>
      <c r="BV884" s="84"/>
    </row>
    <row r="885" spans="14:74" ht="14.25">
      <c r="N885" s="84"/>
      <c r="O885" s="84"/>
      <c r="P885" s="84"/>
      <c r="Q885" s="84"/>
      <c r="R885" s="84"/>
      <c r="S885" s="84"/>
      <c r="T885" s="84"/>
      <c r="U885" s="84"/>
      <c r="V885" s="84"/>
      <c r="W885" s="84"/>
      <c r="Y885" s="84"/>
      <c r="Z885" s="84"/>
      <c r="AA885" s="84"/>
      <c r="AB885" s="84"/>
      <c r="AC885" s="84"/>
      <c r="AD885" s="84"/>
      <c r="AE885" s="84"/>
      <c r="AF885" s="84"/>
      <c r="AG885" s="84"/>
      <c r="AH885" s="84"/>
      <c r="AI885" s="84"/>
      <c r="AL885" s="84"/>
      <c r="AM885" s="84"/>
      <c r="AN885" s="84"/>
      <c r="AO885" s="84"/>
      <c r="AP885" s="84"/>
      <c r="AQ885" s="84"/>
      <c r="AR885" s="84"/>
      <c r="AS885" s="84"/>
      <c r="AT885" s="84"/>
      <c r="AU885" s="84"/>
      <c r="AV885" s="84"/>
      <c r="AY885" s="84"/>
      <c r="AZ885" s="84"/>
      <c r="BA885" s="84"/>
      <c r="BB885" s="84"/>
      <c r="BC885" s="84"/>
      <c r="BD885" s="84"/>
      <c r="BE885" s="84"/>
      <c r="BF885" s="942"/>
      <c r="BG885" s="942"/>
      <c r="BH885" s="942"/>
      <c r="BI885" s="84"/>
      <c r="BL885" s="84"/>
      <c r="BM885" s="84"/>
      <c r="BN885" s="84"/>
      <c r="BO885" s="84"/>
      <c r="BP885" s="84"/>
      <c r="BQ885" s="84"/>
      <c r="BR885" s="84"/>
      <c r="BS885" s="942"/>
      <c r="BT885" s="942"/>
      <c r="BU885" s="942"/>
      <c r="BV885" s="84"/>
    </row>
    <row r="886" spans="14:74" ht="14.25">
      <c r="N886" s="84"/>
      <c r="O886" s="84"/>
      <c r="P886" s="84"/>
      <c r="Q886" s="84"/>
      <c r="R886" s="84"/>
      <c r="S886" s="84"/>
      <c r="T886" s="84"/>
      <c r="U886" s="84"/>
      <c r="V886" s="84"/>
      <c r="W886" s="84"/>
      <c r="Y886" s="84"/>
      <c r="Z886" s="84"/>
      <c r="AA886" s="84"/>
      <c r="AB886" s="84"/>
      <c r="AC886" s="84"/>
      <c r="AD886" s="84"/>
      <c r="AE886" s="84"/>
      <c r="AF886" s="84"/>
      <c r="AG886" s="84"/>
      <c r="AH886" s="84"/>
      <c r="AI886" s="84"/>
      <c r="AL886" s="84"/>
      <c r="AM886" s="84"/>
      <c r="AN886" s="84"/>
      <c r="AO886" s="84"/>
      <c r="AP886" s="84"/>
      <c r="AQ886" s="84"/>
      <c r="AR886" s="84"/>
      <c r="AS886" s="84"/>
      <c r="AT886" s="84"/>
      <c r="AU886" s="84"/>
      <c r="AV886" s="84"/>
      <c r="AY886" s="84"/>
      <c r="AZ886" s="84"/>
      <c r="BA886" s="84"/>
      <c r="BB886" s="84"/>
      <c r="BC886" s="84"/>
      <c r="BD886" s="84"/>
      <c r="BE886" s="84"/>
      <c r="BF886" s="942"/>
      <c r="BG886" s="942"/>
      <c r="BH886" s="942"/>
      <c r="BI886" s="84"/>
      <c r="BL886" s="84"/>
      <c r="BM886" s="84"/>
      <c r="BN886" s="84"/>
      <c r="BO886" s="84"/>
      <c r="BP886" s="84"/>
      <c r="BQ886" s="84"/>
      <c r="BR886" s="84"/>
      <c r="BS886" s="942"/>
      <c r="BT886" s="942"/>
      <c r="BU886" s="942"/>
      <c r="BV886" s="84"/>
    </row>
    <row r="887" spans="14:74" ht="14.25">
      <c r="N887" s="84"/>
      <c r="O887" s="84"/>
      <c r="P887" s="84"/>
      <c r="Q887" s="84"/>
      <c r="R887" s="84"/>
      <c r="S887" s="84"/>
      <c r="T887" s="84"/>
      <c r="U887" s="84"/>
      <c r="V887" s="84"/>
      <c r="W887" s="84"/>
      <c r="Y887" s="84"/>
      <c r="Z887" s="84"/>
      <c r="AA887" s="84"/>
      <c r="AB887" s="84"/>
      <c r="AC887" s="84"/>
      <c r="AD887" s="84"/>
      <c r="AE887" s="84"/>
      <c r="AF887" s="84"/>
      <c r="AG887" s="84"/>
      <c r="AH887" s="84"/>
      <c r="AI887" s="84"/>
      <c r="AL887" s="84"/>
      <c r="AM887" s="84"/>
      <c r="AN887" s="84"/>
      <c r="AO887" s="84"/>
      <c r="AP887" s="84"/>
      <c r="AQ887" s="84"/>
      <c r="AR887" s="84"/>
      <c r="AS887" s="84"/>
      <c r="AT887" s="84"/>
      <c r="AU887" s="84"/>
      <c r="AV887" s="84"/>
      <c r="AY887" s="84"/>
      <c r="AZ887" s="84"/>
      <c r="BA887" s="84"/>
      <c r="BB887" s="84"/>
      <c r="BC887" s="84"/>
      <c r="BD887" s="84"/>
      <c r="BE887" s="84"/>
      <c r="BF887" s="942"/>
      <c r="BG887" s="942"/>
      <c r="BH887" s="942"/>
      <c r="BI887" s="84"/>
      <c r="BL887" s="84"/>
      <c r="BM887" s="84"/>
      <c r="BN887" s="84"/>
      <c r="BO887" s="84"/>
      <c r="BP887" s="84"/>
      <c r="BQ887" s="84"/>
      <c r="BR887" s="84"/>
      <c r="BS887" s="942"/>
      <c r="BT887" s="942"/>
      <c r="BU887" s="942"/>
      <c r="BV887" s="84"/>
    </row>
    <row r="888" spans="14:74" ht="14.25">
      <c r="N888" s="84"/>
      <c r="O888" s="84"/>
      <c r="P888" s="84"/>
      <c r="Q888" s="84"/>
      <c r="R888" s="84"/>
      <c r="S888" s="84"/>
      <c r="T888" s="84"/>
      <c r="U888" s="84"/>
      <c r="V888" s="84"/>
      <c r="W888" s="84"/>
      <c r="Y888" s="84"/>
      <c r="Z888" s="84"/>
      <c r="AA888" s="84"/>
      <c r="AB888" s="84"/>
      <c r="AC888" s="84"/>
      <c r="AD888" s="84"/>
      <c r="AE888" s="84"/>
      <c r="AF888" s="84"/>
      <c r="AG888" s="84"/>
      <c r="AH888" s="84"/>
      <c r="AI888" s="84"/>
      <c r="AL888" s="84"/>
      <c r="AM888" s="84"/>
      <c r="AN888" s="84"/>
      <c r="AO888" s="84"/>
      <c r="AP888" s="84"/>
      <c r="AQ888" s="84"/>
      <c r="AR888" s="84"/>
      <c r="AS888" s="84"/>
      <c r="AT888" s="84"/>
      <c r="AU888" s="84"/>
      <c r="AV888" s="84"/>
      <c r="AY888" s="84"/>
      <c r="AZ888" s="84"/>
      <c r="BA888" s="84"/>
      <c r="BB888" s="84"/>
      <c r="BC888" s="84"/>
      <c r="BD888" s="84"/>
      <c r="BE888" s="84"/>
      <c r="BF888" s="942"/>
      <c r="BG888" s="942"/>
      <c r="BH888" s="942"/>
      <c r="BI888" s="84"/>
      <c r="BL888" s="84"/>
      <c r="BM888" s="84"/>
      <c r="BN888" s="84"/>
      <c r="BO888" s="84"/>
      <c r="BP888" s="84"/>
      <c r="BQ888" s="84"/>
      <c r="BR888" s="84"/>
      <c r="BS888" s="942"/>
      <c r="BT888" s="942"/>
      <c r="BU888" s="942"/>
      <c r="BV888" s="84"/>
    </row>
    <row r="889" spans="14:74" ht="14.25">
      <c r="N889" s="84"/>
      <c r="O889" s="84"/>
      <c r="P889" s="84"/>
      <c r="Q889" s="84"/>
      <c r="R889" s="84"/>
      <c r="S889" s="84"/>
      <c r="T889" s="84"/>
      <c r="U889" s="84"/>
      <c r="V889" s="84"/>
      <c r="W889" s="84"/>
      <c r="Y889" s="84"/>
      <c r="Z889" s="84"/>
      <c r="AA889" s="84"/>
      <c r="AB889" s="84"/>
      <c r="AC889" s="84"/>
      <c r="AD889" s="84"/>
      <c r="AE889" s="84"/>
      <c r="AF889" s="84"/>
      <c r="AG889" s="84"/>
      <c r="AH889" s="84"/>
      <c r="AI889" s="84"/>
      <c r="AL889" s="84"/>
      <c r="AM889" s="84"/>
      <c r="AN889" s="84"/>
      <c r="AO889" s="84"/>
      <c r="AP889" s="84"/>
      <c r="AQ889" s="84"/>
      <c r="AR889" s="84"/>
      <c r="AS889" s="84"/>
      <c r="AT889" s="84"/>
      <c r="AU889" s="84"/>
      <c r="AV889" s="84"/>
      <c r="AY889" s="84"/>
      <c r="AZ889" s="84"/>
      <c r="BA889" s="84"/>
      <c r="BB889" s="84"/>
      <c r="BC889" s="84"/>
      <c r="BD889" s="84"/>
      <c r="BE889" s="84"/>
      <c r="BF889" s="942"/>
      <c r="BG889" s="942"/>
      <c r="BH889" s="942"/>
      <c r="BI889" s="84"/>
      <c r="BL889" s="84"/>
      <c r="BM889" s="84"/>
      <c r="BN889" s="84"/>
      <c r="BO889" s="84"/>
      <c r="BP889" s="84"/>
      <c r="BQ889" s="84"/>
      <c r="BR889" s="84"/>
      <c r="BS889" s="942"/>
      <c r="BT889" s="942"/>
      <c r="BU889" s="942"/>
      <c r="BV889" s="84"/>
    </row>
    <row r="890" spans="14:74" ht="14.25">
      <c r="N890" s="84"/>
      <c r="O890" s="84"/>
      <c r="P890" s="84"/>
      <c r="Q890" s="84"/>
      <c r="R890" s="84"/>
      <c r="S890" s="84"/>
      <c r="T890" s="84"/>
      <c r="U890" s="84"/>
      <c r="V890" s="84"/>
      <c r="W890" s="84"/>
      <c r="Y890" s="84"/>
      <c r="Z890" s="84"/>
      <c r="AA890" s="84"/>
      <c r="AB890" s="84"/>
      <c r="AC890" s="84"/>
      <c r="AD890" s="84"/>
      <c r="AE890" s="84"/>
      <c r="AF890" s="84"/>
      <c r="AG890" s="84"/>
      <c r="AH890" s="84"/>
      <c r="AI890" s="84"/>
      <c r="AL890" s="84"/>
      <c r="AM890" s="84"/>
      <c r="AN890" s="84"/>
      <c r="AO890" s="84"/>
      <c r="AP890" s="84"/>
      <c r="AQ890" s="84"/>
      <c r="AR890" s="84"/>
      <c r="AS890" s="84"/>
      <c r="AT890" s="84"/>
      <c r="AU890" s="84"/>
      <c r="AV890" s="84"/>
      <c r="AY890" s="84"/>
      <c r="AZ890" s="84"/>
      <c r="BA890" s="84"/>
      <c r="BB890" s="84"/>
      <c r="BC890" s="84"/>
      <c r="BD890" s="84"/>
      <c r="BE890" s="84"/>
      <c r="BF890" s="942"/>
      <c r="BG890" s="942"/>
      <c r="BH890" s="942"/>
      <c r="BI890" s="84"/>
      <c r="BL890" s="84"/>
      <c r="BM890" s="84"/>
      <c r="BN890" s="84"/>
      <c r="BO890" s="84"/>
      <c r="BP890" s="84"/>
      <c r="BQ890" s="84"/>
      <c r="BR890" s="84"/>
      <c r="BS890" s="942"/>
      <c r="BT890" s="942"/>
      <c r="BU890" s="942"/>
      <c r="BV890" s="84"/>
    </row>
    <row r="891" spans="14:74" ht="14.25">
      <c r="N891" s="84"/>
      <c r="O891" s="84"/>
      <c r="P891" s="84"/>
      <c r="Q891" s="84"/>
      <c r="R891" s="84"/>
      <c r="S891" s="84"/>
      <c r="T891" s="84"/>
      <c r="U891" s="84"/>
      <c r="V891" s="84"/>
      <c r="W891" s="84"/>
      <c r="Y891" s="84"/>
      <c r="Z891" s="84"/>
      <c r="AA891" s="84"/>
      <c r="AB891" s="84"/>
      <c r="AC891" s="84"/>
      <c r="AD891" s="84"/>
      <c r="AE891" s="84"/>
      <c r="AF891" s="84"/>
      <c r="AG891" s="84"/>
      <c r="AH891" s="84"/>
      <c r="AI891" s="84"/>
      <c r="AL891" s="84"/>
      <c r="AM891" s="84"/>
      <c r="AN891" s="84"/>
      <c r="AO891" s="84"/>
      <c r="AP891" s="84"/>
      <c r="AQ891" s="84"/>
      <c r="AR891" s="84"/>
      <c r="AS891" s="84"/>
      <c r="AT891" s="84"/>
      <c r="AU891" s="84"/>
      <c r="AV891" s="84"/>
      <c r="AY891" s="84"/>
      <c r="AZ891" s="84"/>
      <c r="BA891" s="84"/>
      <c r="BB891" s="84"/>
      <c r="BC891" s="84"/>
      <c r="BD891" s="84"/>
      <c r="BE891" s="84"/>
      <c r="BF891" s="942"/>
      <c r="BG891" s="942"/>
      <c r="BH891" s="942"/>
      <c r="BI891" s="84"/>
      <c r="BL891" s="84"/>
      <c r="BM891" s="84"/>
      <c r="BN891" s="84"/>
      <c r="BO891" s="84"/>
      <c r="BP891" s="84"/>
      <c r="BQ891" s="84"/>
      <c r="BR891" s="84"/>
      <c r="BS891" s="942"/>
      <c r="BT891" s="942"/>
      <c r="BU891" s="942"/>
      <c r="BV891" s="84"/>
    </row>
    <row r="892" spans="14:74" ht="14.25">
      <c r="N892" s="84"/>
      <c r="O892" s="84"/>
      <c r="P892" s="84"/>
      <c r="Q892" s="84"/>
      <c r="R892" s="84"/>
      <c r="S892" s="84"/>
      <c r="T892" s="84"/>
      <c r="U892" s="84"/>
      <c r="V892" s="84"/>
      <c r="W892" s="84"/>
      <c r="Y892" s="84"/>
      <c r="Z892" s="84"/>
      <c r="AA892" s="84"/>
      <c r="AB892" s="84"/>
      <c r="AC892" s="84"/>
      <c r="AD892" s="84"/>
      <c r="AE892" s="84"/>
      <c r="AF892" s="84"/>
      <c r="AG892" s="84"/>
      <c r="AH892" s="84"/>
      <c r="AI892" s="84"/>
      <c r="AL892" s="84"/>
      <c r="AM892" s="84"/>
      <c r="AN892" s="84"/>
      <c r="AO892" s="84"/>
      <c r="AP892" s="84"/>
      <c r="AQ892" s="84"/>
      <c r="AR892" s="84"/>
      <c r="AS892" s="84"/>
      <c r="AT892" s="84"/>
      <c r="AU892" s="84"/>
      <c r="AV892" s="84"/>
      <c r="AY892" s="84"/>
      <c r="AZ892" s="84"/>
      <c r="BA892" s="84"/>
      <c r="BB892" s="84"/>
      <c r="BC892" s="84"/>
      <c r="BD892" s="84"/>
      <c r="BE892" s="84"/>
      <c r="BF892" s="942"/>
      <c r="BG892" s="942"/>
      <c r="BH892" s="942"/>
      <c r="BI892" s="84"/>
      <c r="BL892" s="84"/>
      <c r="BM892" s="84"/>
      <c r="BN892" s="84"/>
      <c r="BO892" s="84"/>
      <c r="BP892" s="84"/>
      <c r="BQ892" s="84"/>
      <c r="BR892" s="84"/>
      <c r="BS892" s="942"/>
      <c r="BT892" s="942"/>
      <c r="BU892" s="942"/>
      <c r="BV892" s="84"/>
    </row>
    <row r="893" spans="14:74" ht="14.25">
      <c r="N893" s="84"/>
      <c r="O893" s="84"/>
      <c r="P893" s="84"/>
      <c r="Q893" s="84"/>
      <c r="R893" s="84"/>
      <c r="S893" s="84"/>
      <c r="T893" s="84"/>
      <c r="U893" s="84"/>
      <c r="V893" s="84"/>
      <c r="W893" s="84"/>
      <c r="Y893" s="84"/>
      <c r="Z893" s="84"/>
      <c r="AA893" s="84"/>
      <c r="AB893" s="84"/>
      <c r="AC893" s="84"/>
      <c r="AD893" s="84"/>
      <c r="AE893" s="84"/>
      <c r="AF893" s="84"/>
      <c r="AG893" s="84"/>
      <c r="AH893" s="84"/>
      <c r="AI893" s="84"/>
      <c r="AL893" s="84"/>
      <c r="AM893" s="84"/>
      <c r="AN893" s="84"/>
      <c r="AO893" s="84"/>
      <c r="AP893" s="84"/>
      <c r="AQ893" s="84"/>
      <c r="AR893" s="84"/>
      <c r="AS893" s="84"/>
      <c r="AT893" s="84"/>
      <c r="AU893" s="84"/>
      <c r="AV893" s="84"/>
      <c r="AY893" s="84"/>
      <c r="AZ893" s="84"/>
      <c r="BA893" s="84"/>
      <c r="BB893" s="84"/>
      <c r="BC893" s="84"/>
      <c r="BD893" s="84"/>
      <c r="BE893" s="84"/>
      <c r="BF893" s="942"/>
      <c r="BG893" s="942"/>
      <c r="BH893" s="942"/>
      <c r="BI893" s="84"/>
      <c r="BL893" s="84"/>
      <c r="BM893" s="84"/>
      <c r="BN893" s="84"/>
      <c r="BO893" s="84"/>
      <c r="BP893" s="84"/>
      <c r="BQ893" s="84"/>
      <c r="BR893" s="84"/>
      <c r="BS893" s="942"/>
      <c r="BT893" s="942"/>
      <c r="BU893" s="942"/>
      <c r="BV893" s="84"/>
    </row>
    <row r="894" spans="14:74" ht="14.25">
      <c r="N894" s="84"/>
      <c r="O894" s="84"/>
      <c r="P894" s="84"/>
      <c r="Q894" s="84"/>
      <c r="R894" s="84"/>
      <c r="S894" s="84"/>
      <c r="T894" s="84"/>
      <c r="U894" s="84"/>
      <c r="V894" s="84"/>
      <c r="W894" s="84"/>
      <c r="Y894" s="84"/>
      <c r="Z894" s="84"/>
      <c r="AA894" s="84"/>
      <c r="AB894" s="84"/>
      <c r="AC894" s="84"/>
      <c r="AD894" s="84"/>
      <c r="AE894" s="84"/>
      <c r="AF894" s="84"/>
      <c r="AG894" s="84"/>
      <c r="AH894" s="84"/>
      <c r="AI894" s="84"/>
      <c r="AL894" s="84"/>
      <c r="AM894" s="84"/>
      <c r="AN894" s="84"/>
      <c r="AO894" s="84"/>
      <c r="AP894" s="84"/>
      <c r="AQ894" s="84"/>
      <c r="AR894" s="84"/>
      <c r="AS894" s="84"/>
      <c r="AT894" s="84"/>
      <c r="AU894" s="84"/>
      <c r="AV894" s="84"/>
      <c r="AY894" s="84"/>
      <c r="AZ894" s="84"/>
      <c r="BA894" s="84"/>
      <c r="BB894" s="84"/>
      <c r="BC894" s="84"/>
      <c r="BD894" s="84"/>
      <c r="BE894" s="84"/>
      <c r="BF894" s="942"/>
      <c r="BG894" s="942"/>
      <c r="BH894" s="942"/>
      <c r="BI894" s="84"/>
      <c r="BL894" s="84"/>
      <c r="BM894" s="84"/>
      <c r="BN894" s="84"/>
      <c r="BO894" s="84"/>
      <c r="BP894" s="84"/>
      <c r="BQ894" s="84"/>
      <c r="BR894" s="84"/>
      <c r="BS894" s="942"/>
      <c r="BT894" s="942"/>
      <c r="BU894" s="942"/>
      <c r="BV894" s="84"/>
    </row>
    <row r="895" spans="14:74" ht="14.25">
      <c r="N895" s="84"/>
      <c r="O895" s="84"/>
      <c r="P895" s="84"/>
      <c r="Q895" s="84"/>
      <c r="R895" s="84"/>
      <c r="S895" s="84"/>
      <c r="T895" s="84"/>
      <c r="U895" s="84"/>
      <c r="V895" s="84"/>
      <c r="W895" s="84"/>
      <c r="Y895" s="84"/>
      <c r="Z895" s="84"/>
      <c r="AA895" s="84"/>
      <c r="AB895" s="84"/>
      <c r="AC895" s="84"/>
      <c r="AD895" s="84"/>
      <c r="AE895" s="84"/>
      <c r="AF895" s="84"/>
      <c r="AG895" s="84"/>
      <c r="AH895" s="84"/>
      <c r="AI895" s="84"/>
      <c r="AL895" s="84"/>
      <c r="AM895" s="84"/>
      <c r="AN895" s="84"/>
      <c r="AO895" s="84"/>
      <c r="AP895" s="84"/>
      <c r="AQ895" s="84"/>
      <c r="AR895" s="84"/>
      <c r="AS895" s="84"/>
      <c r="AT895" s="84"/>
      <c r="AU895" s="84"/>
      <c r="AV895" s="84"/>
      <c r="AY895" s="84"/>
      <c r="AZ895" s="84"/>
      <c r="BA895" s="84"/>
      <c r="BB895" s="84"/>
      <c r="BC895" s="84"/>
      <c r="BD895" s="84"/>
      <c r="BE895" s="84"/>
      <c r="BF895" s="942"/>
      <c r="BG895" s="942"/>
      <c r="BH895" s="942"/>
      <c r="BI895" s="84"/>
      <c r="BL895" s="84"/>
      <c r="BM895" s="84"/>
      <c r="BN895" s="84"/>
      <c r="BO895" s="84"/>
      <c r="BP895" s="84"/>
      <c r="BQ895" s="84"/>
      <c r="BR895" s="84"/>
      <c r="BS895" s="942"/>
      <c r="BT895" s="942"/>
      <c r="BU895" s="942"/>
      <c r="BV895" s="84"/>
    </row>
    <row r="896" spans="14:74" ht="14.25">
      <c r="N896" s="84"/>
      <c r="O896" s="84"/>
      <c r="P896" s="84"/>
      <c r="Q896" s="84"/>
      <c r="R896" s="84"/>
      <c r="S896" s="84"/>
      <c r="T896" s="84"/>
      <c r="U896" s="84"/>
      <c r="V896" s="84"/>
      <c r="W896" s="84"/>
      <c r="Y896" s="84"/>
      <c r="Z896" s="84"/>
      <c r="AA896" s="84"/>
      <c r="AB896" s="84"/>
      <c r="AC896" s="84"/>
      <c r="AD896" s="84"/>
      <c r="AE896" s="84"/>
      <c r="AF896" s="84"/>
      <c r="AG896" s="84"/>
      <c r="AH896" s="84"/>
      <c r="AI896" s="84"/>
      <c r="AL896" s="84"/>
      <c r="AM896" s="84"/>
      <c r="AN896" s="84"/>
      <c r="AO896" s="84"/>
      <c r="AP896" s="84"/>
      <c r="AQ896" s="84"/>
      <c r="AR896" s="84"/>
      <c r="AS896" s="84"/>
      <c r="AT896" s="84"/>
      <c r="AU896" s="84"/>
      <c r="AV896" s="84"/>
      <c r="AY896" s="84"/>
      <c r="AZ896" s="84"/>
      <c r="BA896" s="84"/>
      <c r="BB896" s="84"/>
      <c r="BC896" s="84"/>
      <c r="BD896" s="84"/>
      <c r="BE896" s="84"/>
      <c r="BF896" s="942"/>
      <c r="BG896" s="942"/>
      <c r="BH896" s="942"/>
      <c r="BI896" s="84"/>
      <c r="BL896" s="84"/>
      <c r="BM896" s="84"/>
      <c r="BN896" s="84"/>
      <c r="BO896" s="84"/>
      <c r="BP896" s="84"/>
      <c r="BQ896" s="84"/>
      <c r="BR896" s="84"/>
      <c r="BS896" s="942"/>
      <c r="BT896" s="942"/>
      <c r="BU896" s="942"/>
      <c r="BV896" s="84"/>
    </row>
    <row r="897" spans="14:74" ht="14.25">
      <c r="N897" s="84"/>
      <c r="O897" s="84"/>
      <c r="P897" s="84"/>
      <c r="Q897" s="84"/>
      <c r="R897" s="84"/>
      <c r="S897" s="84"/>
      <c r="T897" s="84"/>
      <c r="U897" s="84"/>
      <c r="V897" s="84"/>
      <c r="W897" s="84"/>
      <c r="Y897" s="84"/>
      <c r="Z897" s="84"/>
      <c r="AA897" s="84"/>
      <c r="AB897" s="84"/>
      <c r="AC897" s="84"/>
      <c r="AD897" s="84"/>
      <c r="AE897" s="84"/>
      <c r="AF897" s="84"/>
      <c r="AG897" s="84"/>
      <c r="AH897" s="84"/>
      <c r="AI897" s="84"/>
      <c r="AL897" s="84"/>
      <c r="AM897" s="84"/>
      <c r="AN897" s="84"/>
      <c r="AO897" s="84"/>
      <c r="AP897" s="84"/>
      <c r="AQ897" s="84"/>
      <c r="AR897" s="84"/>
      <c r="AS897" s="84"/>
      <c r="AT897" s="84"/>
      <c r="AU897" s="84"/>
      <c r="AV897" s="84"/>
      <c r="AY897" s="84"/>
      <c r="AZ897" s="84"/>
      <c r="BA897" s="84"/>
      <c r="BB897" s="84"/>
      <c r="BC897" s="84"/>
      <c r="BD897" s="84"/>
      <c r="BE897" s="84"/>
      <c r="BF897" s="942"/>
      <c r="BG897" s="942"/>
      <c r="BH897" s="942"/>
      <c r="BI897" s="84"/>
      <c r="BL897" s="84"/>
      <c r="BM897" s="84"/>
      <c r="BN897" s="84"/>
      <c r="BO897" s="84"/>
      <c r="BP897" s="84"/>
      <c r="BQ897" s="84"/>
      <c r="BR897" s="84"/>
      <c r="BS897" s="942"/>
      <c r="BT897" s="942"/>
      <c r="BU897" s="942"/>
      <c r="BV897" s="84"/>
    </row>
    <row r="898" spans="14:74" ht="14.25">
      <c r="N898" s="84"/>
      <c r="O898" s="84"/>
      <c r="P898" s="84"/>
      <c r="Q898" s="84"/>
      <c r="R898" s="84"/>
      <c r="S898" s="84"/>
      <c r="T898" s="84"/>
      <c r="U898" s="84"/>
      <c r="V898" s="84"/>
      <c r="W898" s="84"/>
      <c r="Y898" s="84"/>
      <c r="Z898" s="84"/>
      <c r="AA898" s="84"/>
      <c r="AB898" s="84"/>
      <c r="AC898" s="84"/>
      <c r="AD898" s="84"/>
      <c r="AE898" s="84"/>
      <c r="AF898" s="84"/>
      <c r="AG898" s="84"/>
      <c r="AH898" s="84"/>
      <c r="AI898" s="84"/>
      <c r="AL898" s="84"/>
      <c r="AM898" s="84"/>
      <c r="AN898" s="84"/>
      <c r="AO898" s="84"/>
      <c r="AP898" s="84"/>
      <c r="AQ898" s="84"/>
      <c r="AR898" s="84"/>
      <c r="AS898" s="84"/>
      <c r="AT898" s="84"/>
      <c r="AU898" s="84"/>
      <c r="AV898" s="84"/>
      <c r="AY898" s="84"/>
      <c r="AZ898" s="84"/>
      <c r="BA898" s="84"/>
      <c r="BB898" s="84"/>
      <c r="BC898" s="84"/>
      <c r="BD898" s="84"/>
      <c r="BE898" s="84"/>
      <c r="BF898" s="942"/>
      <c r="BG898" s="942"/>
      <c r="BH898" s="942"/>
      <c r="BI898" s="84"/>
      <c r="BL898" s="84"/>
      <c r="BM898" s="84"/>
      <c r="BN898" s="84"/>
      <c r="BO898" s="84"/>
      <c r="BP898" s="84"/>
      <c r="BQ898" s="84"/>
      <c r="BR898" s="84"/>
      <c r="BS898" s="942"/>
      <c r="BT898" s="942"/>
      <c r="BU898" s="942"/>
      <c r="BV898" s="84"/>
    </row>
    <row r="899" spans="14:74" ht="14.25">
      <c r="N899" s="84"/>
      <c r="O899" s="84"/>
      <c r="P899" s="84"/>
      <c r="Q899" s="84"/>
      <c r="R899" s="84"/>
      <c r="S899" s="84"/>
      <c r="T899" s="84"/>
      <c r="U899" s="84"/>
      <c r="V899" s="84"/>
      <c r="W899" s="84"/>
      <c r="Y899" s="84"/>
      <c r="Z899" s="84"/>
      <c r="AA899" s="84"/>
      <c r="AB899" s="84"/>
      <c r="AC899" s="84"/>
      <c r="AD899" s="84"/>
      <c r="AE899" s="84"/>
      <c r="AF899" s="84"/>
      <c r="AG899" s="84"/>
      <c r="AH899" s="84"/>
      <c r="AI899" s="84"/>
      <c r="AL899" s="84"/>
      <c r="AM899" s="84"/>
      <c r="AN899" s="84"/>
      <c r="AO899" s="84"/>
      <c r="AP899" s="84"/>
      <c r="AQ899" s="84"/>
      <c r="AR899" s="84"/>
      <c r="AS899" s="84"/>
      <c r="AT899" s="84"/>
      <c r="AU899" s="84"/>
      <c r="AV899" s="84"/>
      <c r="AY899" s="84"/>
      <c r="AZ899" s="84"/>
      <c r="BA899" s="84"/>
      <c r="BB899" s="84"/>
      <c r="BC899" s="84"/>
      <c r="BD899" s="84"/>
      <c r="BE899" s="84"/>
      <c r="BF899" s="942"/>
      <c r="BG899" s="942"/>
      <c r="BH899" s="942"/>
      <c r="BI899" s="84"/>
      <c r="BL899" s="84"/>
      <c r="BM899" s="84"/>
      <c r="BN899" s="84"/>
      <c r="BO899" s="84"/>
      <c r="BP899" s="84"/>
      <c r="BQ899" s="84"/>
      <c r="BR899" s="84"/>
      <c r="BS899" s="942"/>
      <c r="BT899" s="942"/>
      <c r="BU899" s="942"/>
      <c r="BV899" s="84"/>
    </row>
    <row r="900" spans="14:74" ht="14.25">
      <c r="N900" s="84"/>
      <c r="O900" s="84"/>
      <c r="P900" s="84"/>
      <c r="Q900" s="84"/>
      <c r="R900" s="84"/>
      <c r="S900" s="84"/>
      <c r="T900" s="84"/>
      <c r="U900" s="84"/>
      <c r="V900" s="84"/>
      <c r="W900" s="84"/>
      <c r="Y900" s="84"/>
      <c r="Z900" s="84"/>
      <c r="AA900" s="84"/>
      <c r="AB900" s="84"/>
      <c r="AC900" s="84"/>
      <c r="AD900" s="84"/>
      <c r="AE900" s="84"/>
      <c r="AF900" s="84"/>
      <c r="AG900" s="84"/>
      <c r="AH900" s="84"/>
      <c r="AI900" s="84"/>
      <c r="AL900" s="84"/>
      <c r="AM900" s="84"/>
      <c r="AN900" s="84"/>
      <c r="AO900" s="84"/>
      <c r="AP900" s="84"/>
      <c r="AQ900" s="84"/>
      <c r="AR900" s="84"/>
      <c r="AS900" s="84"/>
      <c r="AT900" s="84"/>
      <c r="AU900" s="84"/>
      <c r="AV900" s="84"/>
      <c r="AY900" s="84"/>
      <c r="AZ900" s="84"/>
      <c r="BA900" s="84"/>
      <c r="BB900" s="84"/>
      <c r="BC900" s="84"/>
      <c r="BD900" s="84"/>
      <c r="BE900" s="84"/>
      <c r="BF900" s="942"/>
      <c r="BG900" s="942"/>
      <c r="BH900" s="942"/>
      <c r="BI900" s="84"/>
      <c r="BL900" s="84"/>
      <c r="BM900" s="84"/>
      <c r="BN900" s="84"/>
      <c r="BO900" s="84"/>
      <c r="BP900" s="84"/>
      <c r="BQ900" s="84"/>
      <c r="BR900" s="84"/>
      <c r="BS900" s="942"/>
      <c r="BT900" s="942"/>
      <c r="BU900" s="942"/>
      <c r="BV900" s="84"/>
    </row>
    <row r="901" spans="14:74" ht="14.25">
      <c r="N901" s="84"/>
      <c r="O901" s="84"/>
      <c r="P901" s="84"/>
      <c r="Q901" s="84"/>
      <c r="R901" s="84"/>
      <c r="S901" s="84"/>
      <c r="T901" s="84"/>
      <c r="U901" s="84"/>
      <c r="V901" s="84"/>
      <c r="W901" s="84"/>
      <c r="Y901" s="84"/>
      <c r="Z901" s="84"/>
      <c r="AA901" s="84"/>
      <c r="AB901" s="84"/>
      <c r="AC901" s="84"/>
      <c r="AD901" s="84"/>
      <c r="AE901" s="84"/>
      <c r="AF901" s="84"/>
      <c r="AG901" s="84"/>
      <c r="AH901" s="84"/>
      <c r="AI901" s="84"/>
      <c r="AL901" s="84"/>
      <c r="AM901" s="84"/>
      <c r="AN901" s="84"/>
      <c r="AO901" s="84"/>
      <c r="AP901" s="84"/>
      <c r="AQ901" s="84"/>
      <c r="AR901" s="84"/>
      <c r="AS901" s="84"/>
      <c r="AT901" s="84"/>
      <c r="AU901" s="84"/>
      <c r="AV901" s="84"/>
      <c r="AY901" s="84"/>
      <c r="AZ901" s="84"/>
      <c r="BA901" s="84"/>
      <c r="BB901" s="84"/>
      <c r="BC901" s="84"/>
      <c r="BD901" s="84"/>
      <c r="BE901" s="84"/>
      <c r="BF901" s="942"/>
      <c r="BG901" s="942"/>
      <c r="BH901" s="942"/>
      <c r="BI901" s="84"/>
      <c r="BL901" s="84"/>
      <c r="BM901" s="84"/>
      <c r="BN901" s="84"/>
      <c r="BO901" s="84"/>
      <c r="BP901" s="84"/>
      <c r="BQ901" s="84"/>
      <c r="BR901" s="84"/>
      <c r="BS901" s="942"/>
      <c r="BT901" s="942"/>
      <c r="BU901" s="942"/>
      <c r="BV901" s="84"/>
    </row>
    <row r="902" spans="14:74" ht="14.25">
      <c r="N902" s="84"/>
      <c r="O902" s="84"/>
      <c r="P902" s="84"/>
      <c r="Q902" s="84"/>
      <c r="R902" s="84"/>
      <c r="S902" s="84"/>
      <c r="T902" s="84"/>
      <c r="U902" s="84"/>
      <c r="V902" s="84"/>
      <c r="W902" s="84"/>
      <c r="Y902" s="84"/>
      <c r="Z902" s="84"/>
      <c r="AA902" s="84"/>
      <c r="AB902" s="84"/>
      <c r="AC902" s="84"/>
      <c r="AD902" s="84"/>
      <c r="AE902" s="84"/>
      <c r="AF902" s="84"/>
      <c r="AG902" s="84"/>
      <c r="AH902" s="84"/>
      <c r="AI902" s="84"/>
      <c r="AL902" s="84"/>
      <c r="AM902" s="84"/>
      <c r="AN902" s="84"/>
      <c r="AO902" s="84"/>
      <c r="AP902" s="84"/>
      <c r="AQ902" s="84"/>
      <c r="AR902" s="84"/>
      <c r="AS902" s="84"/>
      <c r="AT902" s="84"/>
      <c r="AU902" s="84"/>
      <c r="AV902" s="84"/>
      <c r="AY902" s="84"/>
      <c r="AZ902" s="84"/>
      <c r="BA902" s="84"/>
      <c r="BB902" s="84"/>
      <c r="BC902" s="84"/>
      <c r="BD902" s="84"/>
      <c r="BE902" s="84"/>
      <c r="BF902" s="942"/>
      <c r="BG902" s="942"/>
      <c r="BH902" s="942"/>
      <c r="BI902" s="84"/>
      <c r="BL902" s="84"/>
      <c r="BM902" s="84"/>
      <c r="BN902" s="84"/>
      <c r="BO902" s="84"/>
      <c r="BP902" s="84"/>
      <c r="BQ902" s="84"/>
      <c r="BR902" s="84"/>
      <c r="BS902" s="942"/>
      <c r="BT902" s="942"/>
      <c r="BU902" s="942"/>
      <c r="BV902" s="84"/>
    </row>
    <row r="903" spans="14:74" ht="14.25">
      <c r="N903" s="84"/>
      <c r="O903" s="84"/>
      <c r="P903" s="84"/>
      <c r="Q903" s="84"/>
      <c r="R903" s="84"/>
      <c r="S903" s="84"/>
      <c r="T903" s="84"/>
      <c r="U903" s="84"/>
      <c r="V903" s="84"/>
      <c r="W903" s="84"/>
      <c r="Y903" s="84"/>
      <c r="Z903" s="84"/>
      <c r="AA903" s="84"/>
      <c r="AB903" s="84"/>
      <c r="AC903" s="84"/>
      <c r="AD903" s="84"/>
      <c r="AE903" s="84"/>
      <c r="AF903" s="84"/>
      <c r="AG903" s="84"/>
      <c r="AH903" s="84"/>
      <c r="AI903" s="84"/>
      <c r="AL903" s="84"/>
      <c r="AM903" s="84"/>
      <c r="AN903" s="84"/>
      <c r="AO903" s="84"/>
      <c r="AP903" s="84"/>
      <c r="AQ903" s="84"/>
      <c r="AR903" s="84"/>
      <c r="AS903" s="84"/>
      <c r="AT903" s="84"/>
      <c r="AU903" s="84"/>
      <c r="AV903" s="84"/>
      <c r="AY903" s="84"/>
      <c r="AZ903" s="84"/>
      <c r="BA903" s="84"/>
      <c r="BB903" s="84"/>
      <c r="BC903" s="84"/>
      <c r="BD903" s="84"/>
      <c r="BE903" s="84"/>
      <c r="BF903" s="942"/>
      <c r="BG903" s="942"/>
      <c r="BH903" s="942"/>
      <c r="BI903" s="84"/>
      <c r="BL903" s="84"/>
      <c r="BM903" s="84"/>
      <c r="BN903" s="84"/>
      <c r="BO903" s="84"/>
      <c r="BP903" s="84"/>
      <c r="BQ903" s="84"/>
      <c r="BR903" s="84"/>
      <c r="BS903" s="942"/>
      <c r="BT903" s="942"/>
      <c r="BU903" s="942"/>
      <c r="BV903" s="84"/>
    </row>
    <row r="904" spans="14:74" ht="14.25">
      <c r="N904" s="84"/>
      <c r="O904" s="84"/>
      <c r="P904" s="84"/>
      <c r="Q904" s="84"/>
      <c r="R904" s="84"/>
      <c r="S904" s="84"/>
      <c r="T904" s="84"/>
      <c r="U904" s="84"/>
      <c r="V904" s="84"/>
      <c r="W904" s="84"/>
      <c r="Y904" s="84"/>
      <c r="Z904" s="84"/>
      <c r="AA904" s="84"/>
      <c r="AB904" s="84"/>
      <c r="AC904" s="84"/>
      <c r="AD904" s="84"/>
      <c r="AE904" s="84"/>
      <c r="AF904" s="84"/>
      <c r="AG904" s="84"/>
      <c r="AH904" s="84"/>
      <c r="AI904" s="84"/>
      <c r="AL904" s="84"/>
      <c r="AM904" s="84"/>
      <c r="AN904" s="84"/>
      <c r="AO904" s="84"/>
      <c r="AP904" s="84"/>
      <c r="AQ904" s="84"/>
      <c r="AR904" s="84"/>
      <c r="AS904" s="84"/>
      <c r="AT904" s="84"/>
      <c r="AU904" s="84"/>
      <c r="AV904" s="84"/>
      <c r="AY904" s="84"/>
      <c r="AZ904" s="84"/>
      <c r="BA904" s="84"/>
      <c r="BB904" s="84"/>
      <c r="BC904" s="84"/>
      <c r="BD904" s="84"/>
      <c r="BE904" s="84"/>
      <c r="BF904" s="942"/>
      <c r="BG904" s="942"/>
      <c r="BH904" s="942"/>
      <c r="BI904" s="84"/>
      <c r="BL904" s="84"/>
      <c r="BM904" s="84"/>
      <c r="BN904" s="84"/>
      <c r="BO904" s="84"/>
      <c r="BP904" s="84"/>
      <c r="BQ904" s="84"/>
      <c r="BR904" s="84"/>
      <c r="BS904" s="942"/>
      <c r="BT904" s="942"/>
      <c r="BU904" s="942"/>
      <c r="BV904" s="84"/>
    </row>
    <row r="905" spans="14:74" ht="14.25">
      <c r="N905" s="84"/>
      <c r="O905" s="84"/>
      <c r="P905" s="84"/>
      <c r="Q905" s="84"/>
      <c r="R905" s="84"/>
      <c r="S905" s="84"/>
      <c r="T905" s="84"/>
      <c r="U905" s="84"/>
      <c r="V905" s="84"/>
      <c r="W905" s="84"/>
      <c r="Y905" s="84"/>
      <c r="Z905" s="84"/>
      <c r="AA905" s="84"/>
      <c r="AB905" s="84"/>
      <c r="AC905" s="84"/>
      <c r="AD905" s="84"/>
      <c r="AE905" s="84"/>
      <c r="AF905" s="84"/>
      <c r="AG905" s="84"/>
      <c r="AH905" s="84"/>
      <c r="AI905" s="84"/>
      <c r="AL905" s="84"/>
      <c r="AM905" s="84"/>
      <c r="AN905" s="84"/>
      <c r="AO905" s="84"/>
      <c r="AP905" s="84"/>
      <c r="AQ905" s="84"/>
      <c r="AR905" s="84"/>
      <c r="AS905" s="84"/>
      <c r="AT905" s="84"/>
      <c r="AU905" s="84"/>
      <c r="AV905" s="84"/>
      <c r="AY905" s="84"/>
      <c r="AZ905" s="84"/>
      <c r="BA905" s="84"/>
      <c r="BB905" s="84"/>
      <c r="BC905" s="84"/>
      <c r="BD905" s="84"/>
      <c r="BE905" s="84"/>
      <c r="BF905" s="942"/>
      <c r="BG905" s="942"/>
      <c r="BH905" s="942"/>
      <c r="BI905" s="84"/>
      <c r="BL905" s="84"/>
      <c r="BM905" s="84"/>
      <c r="BN905" s="84"/>
      <c r="BO905" s="84"/>
      <c r="BP905" s="84"/>
      <c r="BQ905" s="84"/>
      <c r="BR905" s="84"/>
      <c r="BS905" s="942"/>
      <c r="BT905" s="942"/>
      <c r="BU905" s="942"/>
      <c r="BV905" s="84"/>
    </row>
    <row r="906" spans="14:74" ht="14.25">
      <c r="N906" s="84"/>
      <c r="O906" s="84"/>
      <c r="P906" s="84"/>
      <c r="Q906" s="84"/>
      <c r="R906" s="84"/>
      <c r="S906" s="84"/>
      <c r="T906" s="84"/>
      <c r="U906" s="84"/>
      <c r="V906" s="84"/>
      <c r="W906" s="84"/>
      <c r="Y906" s="84"/>
      <c r="Z906" s="84"/>
      <c r="AA906" s="84"/>
      <c r="AB906" s="84"/>
      <c r="AC906" s="84"/>
      <c r="AD906" s="84"/>
      <c r="AE906" s="84"/>
      <c r="AF906" s="84"/>
      <c r="AG906" s="84"/>
      <c r="AH906" s="84"/>
      <c r="AI906" s="84"/>
      <c r="AL906" s="84"/>
      <c r="AM906" s="84"/>
      <c r="AN906" s="84"/>
      <c r="AO906" s="84"/>
      <c r="AP906" s="84"/>
      <c r="AQ906" s="84"/>
      <c r="AR906" s="84"/>
      <c r="AS906" s="84"/>
      <c r="AT906" s="84"/>
      <c r="AU906" s="84"/>
      <c r="AV906" s="84"/>
      <c r="AY906" s="84"/>
      <c r="AZ906" s="84"/>
      <c r="BA906" s="84"/>
      <c r="BB906" s="84"/>
      <c r="BC906" s="84"/>
      <c r="BD906" s="84"/>
      <c r="BE906" s="84"/>
      <c r="BF906" s="942"/>
      <c r="BG906" s="942"/>
      <c r="BH906" s="942"/>
      <c r="BI906" s="84"/>
      <c r="BL906" s="84"/>
      <c r="BM906" s="84"/>
      <c r="BN906" s="84"/>
      <c r="BO906" s="84"/>
      <c r="BP906" s="84"/>
      <c r="BQ906" s="84"/>
      <c r="BR906" s="84"/>
      <c r="BS906" s="942"/>
      <c r="BT906" s="942"/>
      <c r="BU906" s="942"/>
      <c r="BV906" s="84"/>
    </row>
    <row r="907" spans="14:74" ht="14.25">
      <c r="N907" s="84"/>
      <c r="O907" s="84"/>
      <c r="P907" s="84"/>
      <c r="Q907" s="84"/>
      <c r="R907" s="84"/>
      <c r="S907" s="84"/>
      <c r="T907" s="84"/>
      <c r="U907" s="84"/>
      <c r="V907" s="84"/>
      <c r="W907" s="84"/>
      <c r="Y907" s="84"/>
      <c r="Z907" s="84"/>
      <c r="AA907" s="84"/>
      <c r="AB907" s="84"/>
      <c r="AC907" s="84"/>
      <c r="AD907" s="84"/>
      <c r="AE907" s="84"/>
      <c r="AF907" s="84"/>
      <c r="AG907" s="84"/>
      <c r="AH907" s="84"/>
      <c r="AI907" s="84"/>
      <c r="AL907" s="84"/>
      <c r="AM907" s="84"/>
      <c r="AN907" s="84"/>
      <c r="AO907" s="84"/>
      <c r="AP907" s="84"/>
      <c r="AQ907" s="84"/>
      <c r="AR907" s="84"/>
      <c r="AS907" s="84"/>
      <c r="AT907" s="84"/>
      <c r="AU907" s="84"/>
      <c r="AV907" s="84"/>
      <c r="AY907" s="84"/>
      <c r="AZ907" s="84"/>
      <c r="BA907" s="84"/>
      <c r="BB907" s="84"/>
      <c r="BC907" s="84"/>
      <c r="BD907" s="84"/>
      <c r="BE907" s="84"/>
      <c r="BF907" s="942"/>
      <c r="BG907" s="942"/>
      <c r="BH907" s="942"/>
      <c r="BI907" s="84"/>
      <c r="BL907" s="84"/>
      <c r="BM907" s="84"/>
      <c r="BN907" s="84"/>
      <c r="BO907" s="84"/>
      <c r="BP907" s="84"/>
      <c r="BQ907" s="84"/>
      <c r="BR907" s="84"/>
      <c r="BS907" s="942"/>
      <c r="BT907" s="942"/>
      <c r="BU907" s="942"/>
      <c r="BV907" s="84"/>
    </row>
    <row r="908" spans="14:74" ht="14.25">
      <c r="N908" s="84"/>
      <c r="O908" s="84"/>
      <c r="P908" s="84"/>
      <c r="Q908" s="84"/>
      <c r="R908" s="84"/>
      <c r="S908" s="84"/>
      <c r="T908" s="84"/>
      <c r="U908" s="84"/>
      <c r="V908" s="84"/>
      <c r="W908" s="84"/>
      <c r="Y908" s="84"/>
      <c r="Z908" s="84"/>
      <c r="AA908" s="84"/>
      <c r="AB908" s="84"/>
      <c r="AC908" s="84"/>
      <c r="AD908" s="84"/>
      <c r="AE908" s="84"/>
      <c r="AF908" s="84"/>
      <c r="AG908" s="84"/>
      <c r="AH908" s="84"/>
      <c r="AI908" s="84"/>
      <c r="AL908" s="84"/>
      <c r="AM908" s="84"/>
      <c r="AN908" s="84"/>
      <c r="AO908" s="84"/>
      <c r="AP908" s="84"/>
      <c r="AQ908" s="84"/>
      <c r="AR908" s="84"/>
      <c r="AS908" s="84"/>
      <c r="AT908" s="84"/>
      <c r="AU908" s="84"/>
      <c r="AV908" s="84"/>
      <c r="AY908" s="84"/>
      <c r="AZ908" s="84"/>
      <c r="BA908" s="84"/>
      <c r="BB908" s="84"/>
      <c r="BC908" s="84"/>
      <c r="BD908" s="84"/>
      <c r="BE908" s="84"/>
      <c r="BF908" s="942"/>
      <c r="BG908" s="942"/>
      <c r="BH908" s="942"/>
      <c r="BI908" s="84"/>
      <c r="BL908" s="84"/>
      <c r="BM908" s="84"/>
      <c r="BN908" s="84"/>
      <c r="BO908" s="84"/>
      <c r="BP908" s="84"/>
      <c r="BQ908" s="84"/>
      <c r="BR908" s="84"/>
      <c r="BS908" s="942"/>
      <c r="BT908" s="942"/>
      <c r="BU908" s="942"/>
      <c r="BV908" s="84"/>
    </row>
    <row r="909" spans="14:74" ht="14.25">
      <c r="N909" s="84"/>
      <c r="O909" s="84"/>
      <c r="P909" s="84"/>
      <c r="Q909" s="84"/>
      <c r="R909" s="84"/>
      <c r="S909" s="84"/>
      <c r="T909" s="84"/>
      <c r="U909" s="84"/>
      <c r="V909" s="84"/>
      <c r="W909" s="84"/>
      <c r="Y909" s="84"/>
      <c r="Z909" s="84"/>
      <c r="AA909" s="84"/>
      <c r="AB909" s="84"/>
      <c r="AC909" s="84"/>
      <c r="AD909" s="84"/>
      <c r="AE909" s="84"/>
      <c r="AF909" s="84"/>
      <c r="AG909" s="84"/>
      <c r="AH909" s="84"/>
      <c r="AI909" s="84"/>
      <c r="AL909" s="84"/>
      <c r="AM909" s="84"/>
      <c r="AN909" s="84"/>
      <c r="AO909" s="84"/>
      <c r="AP909" s="84"/>
      <c r="AQ909" s="84"/>
      <c r="AR909" s="84"/>
      <c r="AS909" s="84"/>
      <c r="AT909" s="84"/>
      <c r="AU909" s="84"/>
      <c r="AV909" s="84"/>
      <c r="AY909" s="84"/>
      <c r="AZ909" s="84"/>
      <c r="BA909" s="84"/>
      <c r="BB909" s="84"/>
      <c r="BC909" s="84"/>
      <c r="BD909" s="84"/>
      <c r="BE909" s="84"/>
      <c r="BF909" s="942"/>
      <c r="BG909" s="942"/>
      <c r="BH909" s="942"/>
      <c r="BI909" s="84"/>
      <c r="BL909" s="84"/>
      <c r="BM909" s="84"/>
      <c r="BN909" s="84"/>
      <c r="BO909" s="84"/>
      <c r="BP909" s="84"/>
      <c r="BQ909" s="84"/>
      <c r="BR909" s="84"/>
      <c r="BS909" s="942"/>
      <c r="BT909" s="942"/>
      <c r="BU909" s="942"/>
      <c r="BV909" s="84"/>
    </row>
    <row r="910" spans="14:74" ht="14.25">
      <c r="N910" s="84"/>
      <c r="O910" s="84"/>
      <c r="P910" s="84"/>
      <c r="Q910" s="84"/>
      <c r="R910" s="84"/>
      <c r="S910" s="84"/>
      <c r="T910" s="84"/>
      <c r="U910" s="84"/>
      <c r="V910" s="84"/>
      <c r="W910" s="84"/>
      <c r="Y910" s="84"/>
      <c r="Z910" s="84"/>
      <c r="AA910" s="84"/>
      <c r="AB910" s="84"/>
      <c r="AC910" s="84"/>
      <c r="AD910" s="84"/>
      <c r="AE910" s="84"/>
      <c r="AF910" s="84"/>
      <c r="AG910" s="84"/>
      <c r="AH910" s="84"/>
      <c r="AI910" s="84"/>
      <c r="AL910" s="84"/>
      <c r="AM910" s="84"/>
      <c r="AN910" s="84"/>
      <c r="AO910" s="84"/>
      <c r="AP910" s="84"/>
      <c r="AQ910" s="84"/>
      <c r="AR910" s="84"/>
      <c r="AS910" s="84"/>
      <c r="AT910" s="84"/>
      <c r="AU910" s="84"/>
      <c r="AV910" s="84"/>
      <c r="AY910" s="84"/>
      <c r="AZ910" s="84"/>
      <c r="BA910" s="84"/>
      <c r="BB910" s="84"/>
      <c r="BC910" s="84"/>
      <c r="BD910" s="84"/>
      <c r="BE910" s="84"/>
      <c r="BF910" s="942"/>
      <c r="BG910" s="942"/>
      <c r="BH910" s="942"/>
      <c r="BI910" s="84"/>
      <c r="BL910" s="84"/>
      <c r="BM910" s="84"/>
      <c r="BN910" s="84"/>
      <c r="BO910" s="84"/>
      <c r="BP910" s="84"/>
      <c r="BQ910" s="84"/>
      <c r="BR910" s="84"/>
      <c r="BS910" s="942"/>
      <c r="BT910" s="942"/>
      <c r="BU910" s="942"/>
      <c r="BV910" s="84"/>
    </row>
    <row r="911" spans="14:74" ht="14.25">
      <c r="N911" s="84"/>
      <c r="O911" s="84"/>
      <c r="P911" s="84"/>
      <c r="Q911" s="84"/>
      <c r="R911" s="84"/>
      <c r="S911" s="84"/>
      <c r="T911" s="84"/>
      <c r="U911" s="84"/>
      <c r="V911" s="84"/>
      <c r="W911" s="84"/>
      <c r="Y911" s="84"/>
      <c r="Z911" s="84"/>
      <c r="AA911" s="84"/>
      <c r="AB911" s="84"/>
      <c r="AC911" s="84"/>
      <c r="AD911" s="84"/>
      <c r="AE911" s="84"/>
      <c r="AF911" s="84"/>
      <c r="AG911" s="84"/>
      <c r="AH911" s="84"/>
      <c r="AI911" s="84"/>
      <c r="AL911" s="84"/>
      <c r="AM911" s="84"/>
      <c r="AN911" s="84"/>
      <c r="AO911" s="84"/>
      <c r="AP911" s="84"/>
      <c r="AQ911" s="84"/>
      <c r="AR911" s="84"/>
      <c r="AS911" s="84"/>
      <c r="AT911" s="84"/>
      <c r="AU911" s="84"/>
      <c r="AV911" s="84"/>
      <c r="AY911" s="84"/>
      <c r="AZ911" s="84"/>
      <c r="BA911" s="84"/>
      <c r="BB911" s="84"/>
      <c r="BC911" s="84"/>
      <c r="BD911" s="84"/>
      <c r="BE911" s="84"/>
      <c r="BF911" s="942"/>
      <c r="BG911" s="942"/>
      <c r="BH911" s="942"/>
      <c r="BI911" s="84"/>
      <c r="BL911" s="84"/>
      <c r="BM911" s="84"/>
      <c r="BN911" s="84"/>
      <c r="BO911" s="84"/>
      <c r="BP911" s="84"/>
      <c r="BQ911" s="84"/>
      <c r="BR911" s="84"/>
      <c r="BS911" s="942"/>
      <c r="BT911" s="942"/>
      <c r="BU911" s="942"/>
      <c r="BV911" s="84"/>
    </row>
    <row r="912" spans="14:74" ht="14.25">
      <c r="N912" s="84"/>
      <c r="O912" s="84"/>
      <c r="P912" s="84"/>
      <c r="Q912" s="84"/>
      <c r="R912" s="84"/>
      <c r="S912" s="84"/>
      <c r="T912" s="84"/>
      <c r="U912" s="84"/>
      <c r="V912" s="84"/>
      <c r="W912" s="84"/>
      <c r="Y912" s="84"/>
      <c r="Z912" s="84"/>
      <c r="AA912" s="84"/>
      <c r="AB912" s="84"/>
      <c r="AC912" s="84"/>
      <c r="AD912" s="84"/>
      <c r="AE912" s="84"/>
      <c r="AF912" s="84"/>
      <c r="AG912" s="84"/>
      <c r="AH912" s="84"/>
      <c r="AI912" s="84"/>
      <c r="AL912" s="84"/>
      <c r="AM912" s="84"/>
      <c r="AN912" s="84"/>
      <c r="AO912" s="84"/>
      <c r="AP912" s="84"/>
      <c r="AQ912" s="84"/>
      <c r="AR912" s="84"/>
      <c r="AS912" s="84"/>
      <c r="AT912" s="84"/>
      <c r="AU912" s="84"/>
      <c r="AV912" s="84"/>
      <c r="AY912" s="84"/>
      <c r="AZ912" s="84"/>
      <c r="BA912" s="84"/>
      <c r="BB912" s="84"/>
      <c r="BC912" s="84"/>
      <c r="BD912" s="84"/>
      <c r="BE912" s="84"/>
      <c r="BF912" s="942"/>
      <c r="BG912" s="942"/>
      <c r="BH912" s="942"/>
      <c r="BI912" s="84"/>
      <c r="BL912" s="84"/>
      <c r="BM912" s="84"/>
      <c r="BN912" s="84"/>
      <c r="BO912" s="84"/>
      <c r="BP912" s="84"/>
      <c r="BQ912" s="84"/>
      <c r="BR912" s="84"/>
      <c r="BS912" s="942"/>
      <c r="BT912" s="942"/>
      <c r="BU912" s="942"/>
      <c r="BV912" s="84"/>
    </row>
    <row r="913" spans="14:74" ht="14.25">
      <c r="N913" s="84"/>
      <c r="O913" s="84"/>
      <c r="P913" s="84"/>
      <c r="Q913" s="84"/>
      <c r="R913" s="84"/>
      <c r="S913" s="84"/>
      <c r="T913" s="84"/>
      <c r="U913" s="84"/>
      <c r="V913" s="84"/>
      <c r="W913" s="84"/>
      <c r="Y913" s="84"/>
      <c r="Z913" s="84"/>
      <c r="AA913" s="84"/>
      <c r="AB913" s="84"/>
      <c r="AC913" s="84"/>
      <c r="AD913" s="84"/>
      <c r="AE913" s="84"/>
      <c r="AF913" s="84"/>
      <c r="AG913" s="84"/>
      <c r="AH913" s="84"/>
      <c r="AI913" s="84"/>
      <c r="AL913" s="84"/>
      <c r="AM913" s="84"/>
      <c r="AN913" s="84"/>
      <c r="AO913" s="84"/>
      <c r="AP913" s="84"/>
      <c r="AQ913" s="84"/>
      <c r="AR913" s="84"/>
      <c r="AS913" s="84"/>
      <c r="AT913" s="84"/>
      <c r="AU913" s="84"/>
      <c r="AV913" s="84"/>
      <c r="AY913" s="84"/>
      <c r="AZ913" s="84"/>
      <c r="BA913" s="84"/>
      <c r="BB913" s="84"/>
      <c r="BC913" s="84"/>
      <c r="BD913" s="84"/>
      <c r="BE913" s="84"/>
      <c r="BF913" s="942"/>
      <c r="BG913" s="942"/>
      <c r="BH913" s="942"/>
      <c r="BI913" s="84"/>
      <c r="BL913" s="84"/>
      <c r="BM913" s="84"/>
      <c r="BN913" s="84"/>
      <c r="BO913" s="84"/>
      <c r="BP913" s="84"/>
      <c r="BQ913" s="84"/>
      <c r="BR913" s="84"/>
      <c r="BS913" s="942"/>
      <c r="BT913" s="942"/>
      <c r="BU913" s="942"/>
      <c r="BV913" s="84"/>
    </row>
    <row r="914" spans="14:74" ht="14.25">
      <c r="N914" s="84"/>
      <c r="O914" s="84"/>
      <c r="P914" s="84"/>
      <c r="Q914" s="84"/>
      <c r="R914" s="84"/>
      <c r="S914" s="84"/>
      <c r="T914" s="84"/>
      <c r="U914" s="84"/>
      <c r="V914" s="84"/>
      <c r="W914" s="84"/>
      <c r="Y914" s="84"/>
      <c r="Z914" s="84"/>
      <c r="AA914" s="84"/>
      <c r="AB914" s="84"/>
      <c r="AC914" s="84"/>
      <c r="AD914" s="84"/>
      <c r="AE914" s="84"/>
      <c r="AF914" s="84"/>
      <c r="AG914" s="84"/>
      <c r="AH914" s="84"/>
      <c r="AI914" s="84"/>
      <c r="AL914" s="84"/>
      <c r="AM914" s="84"/>
      <c r="AN914" s="84"/>
      <c r="AO914" s="84"/>
      <c r="AP914" s="84"/>
      <c r="AQ914" s="84"/>
      <c r="AR914" s="84"/>
      <c r="AS914" s="84"/>
      <c r="AT914" s="84"/>
      <c r="AU914" s="84"/>
      <c r="AV914" s="84"/>
      <c r="AY914" s="84"/>
      <c r="AZ914" s="84"/>
      <c r="BA914" s="84"/>
      <c r="BB914" s="84"/>
      <c r="BC914" s="84"/>
      <c r="BD914" s="84"/>
      <c r="BE914" s="84"/>
      <c r="BF914" s="942"/>
      <c r="BG914" s="942"/>
      <c r="BH914" s="942"/>
      <c r="BI914" s="84"/>
      <c r="BL914" s="84"/>
      <c r="BM914" s="84"/>
      <c r="BN914" s="84"/>
      <c r="BO914" s="84"/>
      <c r="BP914" s="84"/>
      <c r="BQ914" s="84"/>
      <c r="BR914" s="84"/>
      <c r="BS914" s="942"/>
      <c r="BT914" s="942"/>
      <c r="BU914" s="942"/>
      <c r="BV914" s="84"/>
    </row>
    <row r="915" spans="14:74" ht="14.25">
      <c r="N915" s="84"/>
      <c r="O915" s="84"/>
      <c r="P915" s="84"/>
      <c r="Q915" s="84"/>
      <c r="R915" s="84"/>
      <c r="S915" s="84"/>
      <c r="T915" s="84"/>
      <c r="U915" s="84"/>
      <c r="V915" s="84"/>
      <c r="W915" s="84"/>
      <c r="Y915" s="84"/>
      <c r="Z915" s="84"/>
      <c r="AA915" s="84"/>
      <c r="AB915" s="84"/>
      <c r="AC915" s="84"/>
      <c r="AD915" s="84"/>
      <c r="AE915" s="84"/>
      <c r="AF915" s="84"/>
      <c r="AG915" s="84"/>
      <c r="AH915" s="84"/>
      <c r="AI915" s="84"/>
      <c r="AL915" s="84"/>
      <c r="AM915" s="84"/>
      <c r="AN915" s="84"/>
      <c r="AO915" s="84"/>
      <c r="AP915" s="84"/>
      <c r="AQ915" s="84"/>
      <c r="AR915" s="84"/>
      <c r="AS915" s="84"/>
      <c r="AT915" s="84"/>
      <c r="AU915" s="84"/>
      <c r="AV915" s="84"/>
      <c r="AY915" s="84"/>
      <c r="AZ915" s="84"/>
      <c r="BA915" s="84"/>
      <c r="BB915" s="84"/>
      <c r="BC915" s="84"/>
      <c r="BD915" s="84"/>
      <c r="BE915" s="84"/>
      <c r="BF915" s="942"/>
      <c r="BG915" s="942"/>
      <c r="BH915" s="942"/>
      <c r="BI915" s="84"/>
      <c r="BL915" s="84"/>
      <c r="BM915" s="84"/>
      <c r="BN915" s="84"/>
      <c r="BO915" s="84"/>
      <c r="BP915" s="84"/>
      <c r="BQ915" s="84"/>
      <c r="BR915" s="84"/>
      <c r="BS915" s="942"/>
      <c r="BT915" s="942"/>
      <c r="BU915" s="942"/>
      <c r="BV915" s="84"/>
    </row>
    <row r="916" spans="14:74" ht="14.25">
      <c r="N916" s="84"/>
      <c r="O916" s="84"/>
      <c r="P916" s="84"/>
      <c r="Q916" s="84"/>
      <c r="R916" s="84"/>
      <c r="S916" s="84"/>
      <c r="T916" s="84"/>
      <c r="U916" s="84"/>
      <c r="V916" s="84"/>
      <c r="W916" s="84"/>
      <c r="Y916" s="84"/>
      <c r="Z916" s="84"/>
      <c r="AA916" s="84"/>
      <c r="AB916" s="84"/>
      <c r="AC916" s="84"/>
      <c r="AD916" s="84"/>
      <c r="AE916" s="84"/>
      <c r="AF916" s="84"/>
      <c r="AG916" s="84"/>
      <c r="AH916" s="84"/>
      <c r="AI916" s="84"/>
      <c r="AL916" s="84"/>
      <c r="AM916" s="84"/>
      <c r="AN916" s="84"/>
      <c r="AO916" s="84"/>
      <c r="AP916" s="84"/>
      <c r="AQ916" s="84"/>
      <c r="AR916" s="84"/>
      <c r="AS916" s="84"/>
      <c r="AT916" s="84"/>
      <c r="AU916" s="84"/>
      <c r="AV916" s="84"/>
      <c r="AY916" s="84"/>
      <c r="AZ916" s="84"/>
      <c r="BA916" s="84"/>
      <c r="BB916" s="84"/>
      <c r="BC916" s="84"/>
      <c r="BD916" s="84"/>
      <c r="BE916" s="84"/>
      <c r="BF916" s="942"/>
      <c r="BG916" s="942"/>
      <c r="BH916" s="942"/>
      <c r="BI916" s="84"/>
      <c r="BL916" s="84"/>
      <c r="BM916" s="84"/>
      <c r="BN916" s="84"/>
      <c r="BO916" s="84"/>
      <c r="BP916" s="84"/>
      <c r="BQ916" s="84"/>
      <c r="BR916" s="84"/>
      <c r="BS916" s="942"/>
      <c r="BT916" s="942"/>
      <c r="BU916" s="942"/>
      <c r="BV916" s="84"/>
    </row>
    <row r="917" spans="14:74" ht="14.25">
      <c r="N917" s="84"/>
      <c r="O917" s="84"/>
      <c r="P917" s="84"/>
      <c r="Q917" s="84"/>
      <c r="R917" s="84"/>
      <c r="S917" s="84"/>
      <c r="T917" s="84"/>
      <c r="U917" s="84"/>
      <c r="V917" s="84"/>
      <c r="W917" s="84"/>
      <c r="Y917" s="84"/>
      <c r="Z917" s="84"/>
      <c r="AA917" s="84"/>
      <c r="AB917" s="84"/>
      <c r="AC917" s="84"/>
      <c r="AD917" s="84"/>
      <c r="AE917" s="84"/>
      <c r="AF917" s="84"/>
      <c r="AG917" s="84"/>
      <c r="AH917" s="84"/>
      <c r="AI917" s="84"/>
      <c r="AL917" s="84"/>
      <c r="AM917" s="84"/>
      <c r="AN917" s="84"/>
      <c r="AO917" s="84"/>
      <c r="AP917" s="84"/>
      <c r="AQ917" s="84"/>
      <c r="AR917" s="84"/>
      <c r="AS917" s="84"/>
      <c r="AT917" s="84"/>
      <c r="AU917" s="84"/>
      <c r="AV917" s="84"/>
      <c r="AY917" s="84"/>
      <c r="AZ917" s="84"/>
      <c r="BA917" s="84"/>
      <c r="BB917" s="84"/>
      <c r="BC917" s="84"/>
      <c r="BD917" s="84"/>
      <c r="BE917" s="84"/>
      <c r="BF917" s="942"/>
      <c r="BG917" s="942"/>
      <c r="BH917" s="942"/>
      <c r="BI917" s="84"/>
      <c r="BL917" s="84"/>
      <c r="BM917" s="84"/>
      <c r="BN917" s="84"/>
      <c r="BO917" s="84"/>
      <c r="BP917" s="84"/>
      <c r="BQ917" s="84"/>
      <c r="BR917" s="84"/>
      <c r="BS917" s="942"/>
      <c r="BT917" s="942"/>
      <c r="BU917" s="942"/>
      <c r="BV917" s="84"/>
    </row>
    <row r="918" spans="14:74" ht="14.25">
      <c r="N918" s="84"/>
      <c r="O918" s="84"/>
      <c r="P918" s="84"/>
      <c r="Q918" s="84"/>
      <c r="R918" s="84"/>
      <c r="S918" s="84"/>
      <c r="T918" s="84"/>
      <c r="U918" s="84"/>
      <c r="V918" s="84"/>
      <c r="W918" s="84"/>
      <c r="Y918" s="84"/>
      <c r="Z918" s="84"/>
      <c r="AA918" s="84"/>
      <c r="AB918" s="84"/>
      <c r="AC918" s="84"/>
      <c r="AD918" s="84"/>
      <c r="AE918" s="84"/>
      <c r="AF918" s="84"/>
      <c r="AG918" s="84"/>
      <c r="AH918" s="84"/>
      <c r="AI918" s="84"/>
      <c r="AL918" s="84"/>
      <c r="AM918" s="84"/>
      <c r="AN918" s="84"/>
      <c r="AO918" s="84"/>
      <c r="AP918" s="84"/>
      <c r="AQ918" s="84"/>
      <c r="AR918" s="84"/>
      <c r="AS918" s="84"/>
      <c r="AT918" s="84"/>
      <c r="AU918" s="84"/>
      <c r="AV918" s="84"/>
      <c r="AY918" s="84"/>
      <c r="AZ918" s="84"/>
      <c r="BA918" s="84"/>
      <c r="BB918" s="84"/>
      <c r="BC918" s="84"/>
      <c r="BD918" s="84"/>
      <c r="BE918" s="84"/>
      <c r="BF918" s="942"/>
      <c r="BG918" s="942"/>
      <c r="BH918" s="942"/>
      <c r="BI918" s="84"/>
      <c r="BL918" s="84"/>
      <c r="BM918" s="84"/>
      <c r="BN918" s="84"/>
      <c r="BO918" s="84"/>
      <c r="BP918" s="84"/>
      <c r="BQ918" s="84"/>
      <c r="BR918" s="84"/>
      <c r="BS918" s="942"/>
      <c r="BT918" s="942"/>
      <c r="BU918" s="942"/>
      <c r="BV918" s="84"/>
    </row>
    <row r="919" spans="14:74" ht="14.25">
      <c r="N919" s="84"/>
      <c r="O919" s="84"/>
      <c r="P919" s="84"/>
      <c r="Q919" s="84"/>
      <c r="R919" s="84"/>
      <c r="S919" s="84"/>
      <c r="T919" s="84"/>
      <c r="U919" s="84"/>
      <c r="V919" s="84"/>
      <c r="W919" s="84"/>
      <c r="Y919" s="84"/>
      <c r="Z919" s="84"/>
      <c r="AA919" s="84"/>
      <c r="AB919" s="84"/>
      <c r="AC919" s="84"/>
      <c r="AD919" s="84"/>
      <c r="AE919" s="84"/>
      <c r="AF919" s="84"/>
      <c r="AG919" s="84"/>
      <c r="AH919" s="84"/>
      <c r="AI919" s="84"/>
      <c r="AL919" s="84"/>
      <c r="AM919" s="84"/>
      <c r="AN919" s="84"/>
      <c r="AO919" s="84"/>
      <c r="AP919" s="84"/>
      <c r="AQ919" s="84"/>
      <c r="AR919" s="84"/>
      <c r="AS919" s="84"/>
      <c r="AT919" s="84"/>
      <c r="AU919" s="84"/>
      <c r="AV919" s="84"/>
      <c r="AY919" s="84"/>
      <c r="AZ919" s="84"/>
      <c r="BA919" s="84"/>
      <c r="BB919" s="84"/>
      <c r="BC919" s="84"/>
      <c r="BD919" s="84"/>
      <c r="BE919" s="84"/>
      <c r="BF919" s="942"/>
      <c r="BG919" s="942"/>
      <c r="BH919" s="942"/>
      <c r="BI919" s="84"/>
      <c r="BL919" s="84"/>
      <c r="BM919" s="84"/>
      <c r="BN919" s="84"/>
      <c r="BO919" s="84"/>
      <c r="BP919" s="84"/>
      <c r="BQ919" s="84"/>
      <c r="BR919" s="84"/>
      <c r="BS919" s="942"/>
      <c r="BT919" s="942"/>
      <c r="BU919" s="942"/>
      <c r="BV919" s="84"/>
    </row>
    <row r="920" spans="14:74" ht="14.25">
      <c r="N920" s="84"/>
      <c r="O920" s="84"/>
      <c r="P920" s="84"/>
      <c r="Q920" s="84"/>
      <c r="R920" s="84"/>
      <c r="S920" s="84"/>
      <c r="T920" s="84"/>
      <c r="U920" s="84"/>
      <c r="V920" s="84"/>
      <c r="W920" s="84"/>
      <c r="Y920" s="84"/>
      <c r="Z920" s="84"/>
      <c r="AA920" s="84"/>
      <c r="AB920" s="84"/>
      <c r="AC920" s="84"/>
      <c r="AD920" s="84"/>
      <c r="AE920" s="84"/>
      <c r="AF920" s="84"/>
      <c r="AG920" s="84"/>
      <c r="AH920" s="84"/>
      <c r="AI920" s="84"/>
      <c r="AL920" s="84"/>
      <c r="AM920" s="84"/>
      <c r="AN920" s="84"/>
      <c r="AO920" s="84"/>
      <c r="AP920" s="84"/>
      <c r="AQ920" s="84"/>
      <c r="AR920" s="84"/>
      <c r="AS920" s="84"/>
      <c r="AT920" s="84"/>
      <c r="AU920" s="84"/>
      <c r="AV920" s="84"/>
      <c r="AY920" s="84"/>
      <c r="AZ920" s="84"/>
      <c r="BA920" s="84"/>
      <c r="BB920" s="84"/>
      <c r="BC920" s="84"/>
      <c r="BD920" s="84"/>
      <c r="BE920" s="84"/>
      <c r="BF920" s="942"/>
      <c r="BG920" s="942"/>
      <c r="BH920" s="942"/>
      <c r="BI920" s="84"/>
      <c r="BL920" s="84"/>
      <c r="BM920" s="84"/>
      <c r="BN920" s="84"/>
      <c r="BO920" s="84"/>
      <c r="BP920" s="84"/>
      <c r="BQ920" s="84"/>
      <c r="BR920" s="84"/>
      <c r="BS920" s="942"/>
      <c r="BT920" s="942"/>
      <c r="BU920" s="942"/>
      <c r="BV920" s="84"/>
    </row>
    <row r="921" spans="14:74" ht="14.25">
      <c r="N921" s="84"/>
      <c r="O921" s="84"/>
      <c r="P921" s="84"/>
      <c r="Q921" s="84"/>
      <c r="R921" s="84"/>
      <c r="S921" s="84"/>
      <c r="T921" s="84"/>
      <c r="U921" s="84"/>
      <c r="V921" s="84"/>
      <c r="W921" s="84"/>
      <c r="Y921" s="84"/>
      <c r="Z921" s="84"/>
      <c r="AA921" s="84"/>
      <c r="AB921" s="84"/>
      <c r="AC921" s="84"/>
      <c r="AD921" s="84"/>
      <c r="AE921" s="84"/>
      <c r="AF921" s="84"/>
      <c r="AG921" s="84"/>
      <c r="AH921" s="84"/>
      <c r="AI921" s="84"/>
      <c r="AL921" s="84"/>
      <c r="AM921" s="84"/>
      <c r="AN921" s="84"/>
      <c r="AO921" s="84"/>
      <c r="AP921" s="84"/>
      <c r="AQ921" s="84"/>
      <c r="AR921" s="84"/>
      <c r="AS921" s="84"/>
      <c r="AT921" s="84"/>
      <c r="AU921" s="84"/>
      <c r="AV921" s="84"/>
      <c r="AY921" s="84"/>
      <c r="AZ921" s="84"/>
      <c r="BA921" s="84"/>
      <c r="BB921" s="84"/>
      <c r="BC921" s="84"/>
      <c r="BD921" s="84"/>
      <c r="BE921" s="84"/>
      <c r="BF921" s="942"/>
      <c r="BG921" s="942"/>
      <c r="BH921" s="942"/>
      <c r="BI921" s="84"/>
      <c r="BL921" s="84"/>
      <c r="BM921" s="84"/>
      <c r="BN921" s="84"/>
      <c r="BO921" s="84"/>
      <c r="BP921" s="84"/>
      <c r="BQ921" s="84"/>
      <c r="BR921" s="84"/>
      <c r="BS921" s="942"/>
      <c r="BT921" s="942"/>
      <c r="BU921" s="942"/>
      <c r="BV921" s="84"/>
    </row>
    <row r="922" spans="14:74" ht="14.25">
      <c r="N922" s="84"/>
      <c r="O922" s="84"/>
      <c r="P922" s="84"/>
      <c r="Q922" s="84"/>
      <c r="R922" s="84"/>
      <c r="S922" s="84"/>
      <c r="T922" s="84"/>
      <c r="U922" s="84"/>
      <c r="V922" s="84"/>
      <c r="W922" s="84"/>
      <c r="Y922" s="84"/>
      <c r="Z922" s="84"/>
      <c r="AA922" s="84"/>
      <c r="AB922" s="84"/>
      <c r="AC922" s="84"/>
      <c r="AD922" s="84"/>
      <c r="AE922" s="84"/>
      <c r="AF922" s="84"/>
      <c r="AG922" s="84"/>
      <c r="AH922" s="84"/>
      <c r="AI922" s="84"/>
      <c r="AL922" s="84"/>
      <c r="AM922" s="84"/>
      <c r="AN922" s="84"/>
      <c r="AO922" s="84"/>
      <c r="AP922" s="84"/>
      <c r="AQ922" s="84"/>
      <c r="AR922" s="84"/>
      <c r="AS922" s="84"/>
      <c r="AT922" s="84"/>
      <c r="AU922" s="84"/>
      <c r="AV922" s="84"/>
      <c r="AY922" s="84"/>
      <c r="AZ922" s="84"/>
      <c r="BA922" s="84"/>
      <c r="BB922" s="84"/>
      <c r="BC922" s="84"/>
      <c r="BD922" s="84"/>
      <c r="BE922" s="84"/>
      <c r="BF922" s="942"/>
      <c r="BG922" s="942"/>
      <c r="BH922" s="942"/>
      <c r="BI922" s="84"/>
      <c r="BL922" s="84"/>
      <c r="BM922" s="84"/>
      <c r="BN922" s="84"/>
      <c r="BO922" s="84"/>
      <c r="BP922" s="84"/>
      <c r="BQ922" s="84"/>
      <c r="BR922" s="84"/>
      <c r="BS922" s="942"/>
      <c r="BT922" s="942"/>
      <c r="BU922" s="942"/>
      <c r="BV922" s="84"/>
    </row>
    <row r="923" spans="14:74" ht="14.25">
      <c r="N923" s="84"/>
      <c r="O923" s="84"/>
      <c r="P923" s="84"/>
      <c r="Q923" s="84"/>
      <c r="R923" s="84"/>
      <c r="S923" s="84"/>
      <c r="T923" s="84"/>
      <c r="U923" s="84"/>
      <c r="V923" s="84"/>
      <c r="W923" s="84"/>
      <c r="Y923" s="84"/>
      <c r="Z923" s="84"/>
      <c r="AA923" s="84"/>
      <c r="AB923" s="84"/>
      <c r="AC923" s="84"/>
      <c r="AD923" s="84"/>
      <c r="AE923" s="84"/>
      <c r="AF923" s="84"/>
      <c r="AG923" s="84"/>
      <c r="AH923" s="84"/>
      <c r="AI923" s="84"/>
      <c r="AL923" s="84"/>
      <c r="AM923" s="84"/>
      <c r="AN923" s="84"/>
      <c r="AO923" s="84"/>
      <c r="AP923" s="84"/>
      <c r="AQ923" s="84"/>
      <c r="AR923" s="84"/>
      <c r="AS923" s="84"/>
      <c r="AT923" s="84"/>
      <c r="AU923" s="84"/>
      <c r="AV923" s="84"/>
      <c r="AY923" s="84"/>
      <c r="AZ923" s="84"/>
      <c r="BA923" s="84"/>
      <c r="BB923" s="84"/>
      <c r="BC923" s="84"/>
      <c r="BD923" s="84"/>
      <c r="BE923" s="84"/>
      <c r="BF923" s="942"/>
      <c r="BG923" s="942"/>
      <c r="BH923" s="942"/>
      <c r="BI923" s="84"/>
      <c r="BL923" s="84"/>
      <c r="BM923" s="84"/>
      <c r="BN923" s="84"/>
      <c r="BO923" s="84"/>
      <c r="BP923" s="84"/>
      <c r="BQ923" s="84"/>
      <c r="BR923" s="84"/>
      <c r="BS923" s="942"/>
      <c r="BT923" s="942"/>
      <c r="BU923" s="942"/>
      <c r="BV923" s="84"/>
    </row>
    <row r="924" spans="14:74" ht="14.25">
      <c r="N924" s="84"/>
      <c r="O924" s="84"/>
      <c r="P924" s="84"/>
      <c r="Q924" s="84"/>
      <c r="R924" s="84"/>
      <c r="S924" s="84"/>
      <c r="T924" s="84"/>
      <c r="U924" s="84"/>
      <c r="V924" s="84"/>
      <c r="W924" s="84"/>
      <c r="Y924" s="84"/>
      <c r="Z924" s="84"/>
      <c r="AA924" s="84"/>
      <c r="AB924" s="84"/>
      <c r="AC924" s="84"/>
      <c r="AD924" s="84"/>
      <c r="AE924" s="84"/>
      <c r="AF924" s="84"/>
      <c r="AG924" s="84"/>
      <c r="AH924" s="84"/>
      <c r="AI924" s="84"/>
      <c r="AL924" s="84"/>
      <c r="AM924" s="84"/>
      <c r="AN924" s="84"/>
      <c r="AO924" s="84"/>
      <c r="AP924" s="84"/>
      <c r="AQ924" s="84"/>
      <c r="AR924" s="84"/>
      <c r="AS924" s="84"/>
      <c r="AT924" s="84"/>
      <c r="AU924" s="84"/>
      <c r="AV924" s="84"/>
      <c r="AY924" s="84"/>
      <c r="AZ924" s="84"/>
      <c r="BA924" s="84"/>
      <c r="BB924" s="84"/>
      <c r="BC924" s="84"/>
      <c r="BD924" s="84"/>
      <c r="BE924" s="84"/>
      <c r="BF924" s="942"/>
      <c r="BG924" s="942"/>
      <c r="BH924" s="942"/>
      <c r="BI924" s="84"/>
      <c r="BL924" s="84"/>
      <c r="BM924" s="84"/>
      <c r="BN924" s="84"/>
      <c r="BO924" s="84"/>
      <c r="BP924" s="84"/>
      <c r="BQ924" s="84"/>
      <c r="BR924" s="84"/>
      <c r="BS924" s="942"/>
      <c r="BT924" s="942"/>
      <c r="BU924" s="942"/>
      <c r="BV924" s="84"/>
    </row>
    <row r="925" spans="14:74" ht="14.25">
      <c r="N925" s="84"/>
      <c r="O925" s="84"/>
      <c r="P925" s="84"/>
      <c r="Q925" s="84"/>
      <c r="R925" s="84"/>
      <c r="S925" s="84"/>
      <c r="T925" s="84"/>
      <c r="U925" s="84"/>
      <c r="V925" s="84"/>
      <c r="W925" s="84"/>
      <c r="Y925" s="84"/>
      <c r="Z925" s="84"/>
      <c r="AA925" s="84"/>
      <c r="AB925" s="84"/>
      <c r="AC925" s="84"/>
      <c r="AD925" s="84"/>
      <c r="AE925" s="84"/>
      <c r="AF925" s="84"/>
      <c r="AG925" s="84"/>
      <c r="AH925" s="84"/>
      <c r="AI925" s="84"/>
      <c r="AL925" s="84"/>
      <c r="AM925" s="84"/>
      <c r="AN925" s="84"/>
      <c r="AO925" s="84"/>
      <c r="AP925" s="84"/>
      <c r="AQ925" s="84"/>
      <c r="AR925" s="84"/>
      <c r="AS925" s="84"/>
      <c r="AT925" s="84"/>
      <c r="AU925" s="84"/>
      <c r="AV925" s="84"/>
      <c r="AY925" s="84"/>
      <c r="AZ925" s="84"/>
      <c r="BA925" s="84"/>
      <c r="BB925" s="84"/>
      <c r="BC925" s="84"/>
      <c r="BD925" s="84"/>
      <c r="BE925" s="84"/>
      <c r="BF925" s="942"/>
      <c r="BG925" s="942"/>
      <c r="BH925" s="942"/>
      <c r="BI925" s="84"/>
      <c r="BL925" s="84"/>
      <c r="BM925" s="84"/>
      <c r="BN925" s="84"/>
      <c r="BO925" s="84"/>
      <c r="BP925" s="84"/>
      <c r="BQ925" s="84"/>
      <c r="BR925" s="84"/>
      <c r="BS925" s="942"/>
      <c r="BT925" s="942"/>
      <c r="BU925" s="942"/>
      <c r="BV925" s="84"/>
    </row>
    <row r="926" spans="14:74" ht="14.25">
      <c r="N926" s="84"/>
      <c r="O926" s="84"/>
      <c r="P926" s="84"/>
      <c r="Q926" s="84"/>
      <c r="R926" s="84"/>
      <c r="S926" s="84"/>
      <c r="T926" s="84"/>
      <c r="U926" s="84"/>
      <c r="V926" s="84"/>
      <c r="W926" s="84"/>
      <c r="Y926" s="84"/>
      <c r="Z926" s="84"/>
      <c r="AA926" s="84"/>
      <c r="AB926" s="84"/>
      <c r="AC926" s="84"/>
      <c r="AD926" s="84"/>
      <c r="AE926" s="84"/>
      <c r="AF926" s="84"/>
      <c r="AG926" s="84"/>
      <c r="AH926" s="84"/>
      <c r="AI926" s="84"/>
      <c r="AL926" s="84"/>
      <c r="AM926" s="84"/>
      <c r="AN926" s="84"/>
      <c r="AO926" s="84"/>
      <c r="AP926" s="84"/>
      <c r="AQ926" s="84"/>
      <c r="AR926" s="84"/>
      <c r="AS926" s="84"/>
      <c r="AT926" s="84"/>
      <c r="AU926" s="84"/>
      <c r="AV926" s="84"/>
      <c r="AY926" s="84"/>
      <c r="AZ926" s="84"/>
      <c r="BA926" s="84"/>
      <c r="BB926" s="84"/>
      <c r="BC926" s="84"/>
      <c r="BD926" s="84"/>
      <c r="BE926" s="84"/>
      <c r="BF926" s="942"/>
      <c r="BG926" s="942"/>
      <c r="BH926" s="942"/>
      <c r="BI926" s="84"/>
      <c r="BL926" s="84"/>
      <c r="BM926" s="84"/>
      <c r="BN926" s="84"/>
      <c r="BO926" s="84"/>
      <c r="BP926" s="84"/>
      <c r="BQ926" s="84"/>
      <c r="BR926" s="84"/>
      <c r="BS926" s="942"/>
      <c r="BT926" s="942"/>
      <c r="BU926" s="942"/>
      <c r="BV926" s="84"/>
    </row>
    <row r="927" spans="14:74" ht="14.25">
      <c r="N927" s="84"/>
      <c r="O927" s="84"/>
      <c r="P927" s="84"/>
      <c r="Q927" s="84"/>
      <c r="R927" s="84"/>
      <c r="S927" s="84"/>
      <c r="T927" s="84"/>
      <c r="U927" s="84"/>
      <c r="V927" s="84"/>
      <c r="W927" s="84"/>
      <c r="Y927" s="84"/>
      <c r="Z927" s="84"/>
      <c r="AA927" s="84"/>
      <c r="AB927" s="84"/>
      <c r="AC927" s="84"/>
      <c r="AD927" s="84"/>
      <c r="AE927" s="84"/>
      <c r="AF927" s="84"/>
      <c r="AG927" s="84"/>
      <c r="AH927" s="84"/>
      <c r="AI927" s="84"/>
      <c r="AL927" s="84"/>
      <c r="AM927" s="84"/>
      <c r="AN927" s="84"/>
      <c r="AO927" s="84"/>
      <c r="AP927" s="84"/>
      <c r="AQ927" s="84"/>
      <c r="AR927" s="84"/>
      <c r="AS927" s="84"/>
      <c r="AT927" s="84"/>
      <c r="AU927" s="84"/>
      <c r="AV927" s="84"/>
      <c r="AY927" s="84"/>
      <c r="AZ927" s="84"/>
      <c r="BA927" s="84"/>
      <c r="BB927" s="84"/>
      <c r="BC927" s="84"/>
      <c r="BD927" s="84"/>
      <c r="BE927" s="84"/>
      <c r="BF927" s="942"/>
      <c r="BG927" s="942"/>
      <c r="BH927" s="942"/>
      <c r="BI927" s="84"/>
      <c r="BL927" s="84"/>
      <c r="BM927" s="84"/>
      <c r="BN927" s="84"/>
      <c r="BO927" s="84"/>
      <c r="BP927" s="84"/>
      <c r="BQ927" s="84"/>
      <c r="BR927" s="84"/>
      <c r="BS927" s="942"/>
      <c r="BT927" s="942"/>
      <c r="BU927" s="942"/>
      <c r="BV927" s="84"/>
    </row>
    <row r="928" spans="14:74" ht="14.25">
      <c r="N928" s="84"/>
      <c r="O928" s="84"/>
      <c r="P928" s="84"/>
      <c r="Q928" s="84"/>
      <c r="R928" s="84"/>
      <c r="S928" s="84"/>
      <c r="T928" s="84"/>
      <c r="U928" s="84"/>
      <c r="V928" s="84"/>
      <c r="W928" s="84"/>
      <c r="Y928" s="84"/>
      <c r="Z928" s="84"/>
      <c r="AA928" s="84"/>
      <c r="AB928" s="84"/>
      <c r="AC928" s="84"/>
      <c r="AD928" s="84"/>
      <c r="AE928" s="84"/>
      <c r="AF928" s="84"/>
      <c r="AG928" s="84"/>
      <c r="AH928" s="84"/>
      <c r="AI928" s="84"/>
      <c r="AL928" s="84"/>
      <c r="AM928" s="84"/>
      <c r="AN928" s="84"/>
      <c r="AO928" s="84"/>
      <c r="AP928" s="84"/>
      <c r="AQ928" s="84"/>
      <c r="AR928" s="84"/>
      <c r="AS928" s="84"/>
      <c r="AT928" s="84"/>
      <c r="AU928" s="84"/>
      <c r="AV928" s="84"/>
      <c r="AY928" s="84"/>
      <c r="AZ928" s="84"/>
      <c r="BA928" s="84"/>
      <c r="BB928" s="84"/>
      <c r="BC928" s="84"/>
      <c r="BD928" s="84"/>
      <c r="BE928" s="84"/>
      <c r="BF928" s="942"/>
      <c r="BG928" s="942"/>
      <c r="BH928" s="942"/>
      <c r="BI928" s="84"/>
      <c r="BL928" s="84"/>
      <c r="BM928" s="84"/>
      <c r="BN928" s="84"/>
      <c r="BO928" s="84"/>
      <c r="BP928" s="84"/>
      <c r="BQ928" s="84"/>
      <c r="BR928" s="84"/>
      <c r="BS928" s="942"/>
      <c r="BT928" s="942"/>
      <c r="BU928" s="942"/>
      <c r="BV928" s="84"/>
    </row>
    <row r="929" spans="14:74" ht="14.25">
      <c r="N929" s="84"/>
      <c r="O929" s="84"/>
      <c r="P929" s="84"/>
      <c r="Q929" s="84"/>
      <c r="R929" s="84"/>
      <c r="S929" s="84"/>
      <c r="T929" s="84"/>
      <c r="U929" s="84"/>
      <c r="V929" s="84"/>
      <c r="W929" s="84"/>
      <c r="Y929" s="84"/>
      <c r="Z929" s="84"/>
      <c r="AA929" s="84"/>
      <c r="AB929" s="84"/>
      <c r="AC929" s="84"/>
      <c r="AD929" s="84"/>
      <c r="AE929" s="84"/>
      <c r="AF929" s="84"/>
      <c r="AG929" s="84"/>
      <c r="AH929" s="84"/>
      <c r="AI929" s="84"/>
      <c r="AL929" s="84"/>
      <c r="AM929" s="84"/>
      <c r="AN929" s="84"/>
      <c r="AO929" s="84"/>
      <c r="AP929" s="84"/>
      <c r="AQ929" s="84"/>
      <c r="AR929" s="84"/>
      <c r="AS929" s="84"/>
      <c r="AT929" s="84"/>
      <c r="AU929" s="84"/>
      <c r="AV929" s="84"/>
      <c r="AY929" s="84"/>
      <c r="AZ929" s="84"/>
      <c r="BA929" s="84"/>
      <c r="BB929" s="84"/>
      <c r="BC929" s="84"/>
      <c r="BD929" s="84"/>
      <c r="BE929" s="84"/>
      <c r="BF929" s="942"/>
      <c r="BG929" s="942"/>
      <c r="BH929" s="942"/>
      <c r="BI929" s="84"/>
      <c r="BL929" s="84"/>
      <c r="BM929" s="84"/>
      <c r="BN929" s="84"/>
      <c r="BO929" s="84"/>
      <c r="BP929" s="84"/>
      <c r="BQ929" s="84"/>
      <c r="BR929" s="84"/>
      <c r="BS929" s="942"/>
      <c r="BT929" s="942"/>
      <c r="BU929" s="942"/>
      <c r="BV929" s="84"/>
    </row>
    <row r="930" spans="14:74" ht="14.25">
      <c r="N930" s="84"/>
      <c r="O930" s="84"/>
      <c r="P930" s="84"/>
      <c r="Q930" s="84"/>
      <c r="R930" s="84"/>
      <c r="S930" s="84"/>
      <c r="T930" s="84"/>
      <c r="U930" s="84"/>
      <c r="V930" s="84"/>
      <c r="W930" s="84"/>
      <c r="Y930" s="84"/>
      <c r="Z930" s="84"/>
      <c r="AA930" s="84"/>
      <c r="AB930" s="84"/>
      <c r="AC930" s="84"/>
      <c r="AD930" s="84"/>
      <c r="AE930" s="84"/>
      <c r="AF930" s="84"/>
      <c r="AG930" s="84"/>
      <c r="AH930" s="84"/>
      <c r="AI930" s="84"/>
      <c r="AL930" s="84"/>
      <c r="AM930" s="84"/>
      <c r="AN930" s="84"/>
      <c r="AO930" s="84"/>
      <c r="AP930" s="84"/>
      <c r="AQ930" s="84"/>
      <c r="AR930" s="84"/>
      <c r="AS930" s="84"/>
      <c r="AT930" s="84"/>
      <c r="AU930" s="84"/>
      <c r="AV930" s="84"/>
      <c r="AY930" s="84"/>
      <c r="AZ930" s="84"/>
      <c r="BA930" s="84"/>
      <c r="BB930" s="84"/>
      <c r="BC930" s="84"/>
      <c r="BD930" s="84"/>
      <c r="BE930" s="84"/>
      <c r="BF930" s="942"/>
      <c r="BG930" s="942"/>
      <c r="BH930" s="942"/>
      <c r="BI930" s="84"/>
      <c r="BL930" s="84"/>
      <c r="BM930" s="84"/>
      <c r="BN930" s="84"/>
      <c r="BO930" s="84"/>
      <c r="BP930" s="84"/>
      <c r="BQ930" s="84"/>
      <c r="BR930" s="84"/>
      <c r="BS930" s="942"/>
      <c r="BT930" s="942"/>
      <c r="BU930" s="942"/>
      <c r="BV930" s="84"/>
    </row>
    <row r="931" spans="14:74" ht="14.25">
      <c r="N931" s="84"/>
      <c r="O931" s="84"/>
      <c r="P931" s="84"/>
      <c r="Q931" s="84"/>
      <c r="R931" s="84"/>
      <c r="S931" s="84"/>
      <c r="T931" s="84"/>
      <c r="U931" s="84"/>
      <c r="V931" s="84"/>
      <c r="W931" s="84"/>
      <c r="Y931" s="84"/>
      <c r="Z931" s="84"/>
      <c r="AA931" s="84"/>
      <c r="AB931" s="84"/>
      <c r="AC931" s="84"/>
      <c r="AD931" s="84"/>
      <c r="AE931" s="84"/>
      <c r="AF931" s="84"/>
      <c r="AG931" s="84"/>
      <c r="AH931" s="84"/>
      <c r="AI931" s="84"/>
      <c r="AL931" s="84"/>
      <c r="AM931" s="84"/>
      <c r="AN931" s="84"/>
      <c r="AO931" s="84"/>
      <c r="AP931" s="84"/>
      <c r="AQ931" s="84"/>
      <c r="AR931" s="84"/>
      <c r="AS931" s="84"/>
      <c r="AT931" s="84"/>
      <c r="AU931" s="84"/>
      <c r="AV931" s="84"/>
      <c r="AY931" s="84"/>
      <c r="AZ931" s="84"/>
      <c r="BA931" s="84"/>
      <c r="BB931" s="84"/>
      <c r="BC931" s="84"/>
      <c r="BD931" s="84"/>
      <c r="BE931" s="84"/>
      <c r="BF931" s="942"/>
      <c r="BG931" s="942"/>
      <c r="BH931" s="942"/>
      <c r="BI931" s="84"/>
      <c r="BL931" s="84"/>
      <c r="BM931" s="84"/>
      <c r="BN931" s="84"/>
      <c r="BO931" s="84"/>
      <c r="BP931" s="84"/>
      <c r="BQ931" s="84"/>
      <c r="BR931" s="84"/>
      <c r="BS931" s="942"/>
      <c r="BT931" s="942"/>
      <c r="BU931" s="942"/>
      <c r="BV931" s="84"/>
    </row>
    <row r="932" spans="14:74" ht="14.25">
      <c r="N932" s="84"/>
      <c r="O932" s="84"/>
      <c r="P932" s="84"/>
      <c r="Q932" s="84"/>
      <c r="R932" s="84"/>
      <c r="S932" s="84"/>
      <c r="T932" s="84"/>
      <c r="U932" s="84"/>
      <c r="V932" s="84"/>
      <c r="W932" s="84"/>
      <c r="Y932" s="84"/>
      <c r="Z932" s="84"/>
      <c r="AA932" s="84"/>
      <c r="AB932" s="84"/>
      <c r="AC932" s="84"/>
      <c r="AD932" s="84"/>
      <c r="AE932" s="84"/>
      <c r="AF932" s="84"/>
      <c r="AG932" s="84"/>
      <c r="AH932" s="84"/>
      <c r="AI932" s="84"/>
      <c r="AL932" s="84"/>
      <c r="AM932" s="84"/>
      <c r="AN932" s="84"/>
      <c r="AO932" s="84"/>
      <c r="AP932" s="84"/>
      <c r="AQ932" s="84"/>
      <c r="AR932" s="84"/>
      <c r="AS932" s="84"/>
      <c r="AT932" s="84"/>
      <c r="AU932" s="84"/>
      <c r="AV932" s="84"/>
      <c r="AY932" s="84"/>
      <c r="AZ932" s="84"/>
      <c r="BA932" s="84"/>
      <c r="BB932" s="84"/>
      <c r="BC932" s="84"/>
      <c r="BD932" s="84"/>
      <c r="BE932" s="84"/>
      <c r="BF932" s="942"/>
      <c r="BG932" s="942"/>
      <c r="BH932" s="942"/>
      <c r="BI932" s="84"/>
      <c r="BL932" s="84"/>
      <c r="BM932" s="84"/>
      <c r="BN932" s="84"/>
      <c r="BO932" s="84"/>
      <c r="BP932" s="84"/>
      <c r="BQ932" s="84"/>
      <c r="BR932" s="84"/>
      <c r="BS932" s="942"/>
      <c r="BT932" s="942"/>
      <c r="BU932" s="942"/>
      <c r="BV932" s="84"/>
    </row>
    <row r="933" spans="14:74" ht="14.25">
      <c r="N933" s="84"/>
      <c r="O933" s="84"/>
      <c r="P933" s="84"/>
      <c r="Q933" s="84"/>
      <c r="R933" s="84"/>
      <c r="S933" s="84"/>
      <c r="T933" s="84"/>
      <c r="U933" s="84"/>
      <c r="V933" s="84"/>
      <c r="W933" s="84"/>
      <c r="Y933" s="84"/>
      <c r="Z933" s="84"/>
      <c r="AA933" s="84"/>
      <c r="AB933" s="84"/>
      <c r="AC933" s="84"/>
      <c r="AD933" s="84"/>
      <c r="AE933" s="84"/>
      <c r="AF933" s="84"/>
      <c r="AG933" s="84"/>
      <c r="AH933" s="84"/>
      <c r="AI933" s="84"/>
      <c r="AL933" s="84"/>
      <c r="AM933" s="84"/>
      <c r="AN933" s="84"/>
      <c r="AO933" s="84"/>
      <c r="AP933" s="84"/>
      <c r="AQ933" s="84"/>
      <c r="AR933" s="84"/>
      <c r="AS933" s="84"/>
      <c r="AT933" s="84"/>
      <c r="AU933" s="84"/>
      <c r="AV933" s="84"/>
      <c r="AY933" s="84"/>
      <c r="AZ933" s="84"/>
      <c r="BA933" s="84"/>
      <c r="BB933" s="84"/>
      <c r="BC933" s="84"/>
      <c r="BD933" s="84"/>
      <c r="BE933" s="84"/>
      <c r="BF933" s="942"/>
      <c r="BG933" s="942"/>
      <c r="BH933" s="942"/>
      <c r="BI933" s="84"/>
      <c r="BL933" s="84"/>
      <c r="BM933" s="84"/>
      <c r="BN933" s="84"/>
      <c r="BO933" s="84"/>
      <c r="BP933" s="84"/>
      <c r="BQ933" s="84"/>
      <c r="BR933" s="84"/>
      <c r="BS933" s="942"/>
      <c r="BT933" s="942"/>
      <c r="BU933" s="942"/>
      <c r="BV933" s="84"/>
    </row>
    <row r="934" spans="14:74" ht="14.25">
      <c r="N934" s="84"/>
      <c r="O934" s="84"/>
      <c r="P934" s="84"/>
      <c r="Q934" s="84"/>
      <c r="R934" s="84"/>
      <c r="S934" s="84"/>
      <c r="T934" s="84"/>
      <c r="U934" s="84"/>
      <c r="V934" s="84"/>
      <c r="W934" s="84"/>
      <c r="Y934" s="84"/>
      <c r="Z934" s="84"/>
      <c r="AA934" s="84"/>
      <c r="AB934" s="84"/>
      <c r="AC934" s="84"/>
      <c r="AD934" s="84"/>
      <c r="AE934" s="84"/>
      <c r="AF934" s="84"/>
      <c r="AG934" s="84"/>
      <c r="AH934" s="84"/>
      <c r="AI934" s="84"/>
      <c r="AL934" s="84"/>
      <c r="AM934" s="84"/>
      <c r="AN934" s="84"/>
      <c r="AO934" s="84"/>
      <c r="AP934" s="84"/>
      <c r="AQ934" s="84"/>
      <c r="AR934" s="84"/>
      <c r="AS934" s="84"/>
      <c r="AT934" s="84"/>
      <c r="AU934" s="84"/>
      <c r="AV934" s="84"/>
      <c r="AY934" s="84"/>
      <c r="AZ934" s="84"/>
      <c r="BA934" s="84"/>
      <c r="BB934" s="84"/>
      <c r="BC934" s="84"/>
      <c r="BD934" s="84"/>
      <c r="BE934" s="84"/>
      <c r="BF934" s="942"/>
      <c r="BG934" s="942"/>
      <c r="BH934" s="942"/>
      <c r="BI934" s="84"/>
      <c r="BL934" s="84"/>
      <c r="BM934" s="84"/>
      <c r="BN934" s="84"/>
      <c r="BO934" s="84"/>
      <c r="BP934" s="84"/>
      <c r="BQ934" s="84"/>
      <c r="BR934" s="84"/>
      <c r="BS934" s="942"/>
      <c r="BT934" s="942"/>
      <c r="BU934" s="942"/>
      <c r="BV934" s="84"/>
    </row>
    <row r="935" spans="14:74" ht="14.25">
      <c r="N935" s="84"/>
      <c r="O935" s="84"/>
      <c r="P935" s="84"/>
      <c r="Q935" s="84"/>
      <c r="R935" s="84"/>
      <c r="S935" s="84"/>
      <c r="T935" s="84"/>
      <c r="U935" s="84"/>
      <c r="V935" s="84"/>
      <c r="W935" s="84"/>
      <c r="Y935" s="84"/>
      <c r="Z935" s="84"/>
      <c r="AA935" s="84"/>
      <c r="AB935" s="84"/>
      <c r="AC935" s="84"/>
      <c r="AD935" s="84"/>
      <c r="AE935" s="84"/>
      <c r="AF935" s="84"/>
      <c r="AG935" s="84"/>
      <c r="AH935" s="84"/>
      <c r="AI935" s="84"/>
      <c r="AL935" s="84"/>
      <c r="AM935" s="84"/>
      <c r="AN935" s="84"/>
      <c r="AO935" s="84"/>
      <c r="AP935" s="84"/>
      <c r="AQ935" s="84"/>
      <c r="AR935" s="84"/>
      <c r="AS935" s="84"/>
      <c r="AT935" s="84"/>
      <c r="AU935" s="84"/>
      <c r="AV935" s="84"/>
      <c r="AY935" s="84"/>
      <c r="AZ935" s="84"/>
      <c r="BA935" s="84"/>
      <c r="BB935" s="84"/>
      <c r="BC935" s="84"/>
      <c r="BD935" s="84"/>
      <c r="BE935" s="84"/>
      <c r="BF935" s="942"/>
      <c r="BG935" s="942"/>
      <c r="BH935" s="942"/>
      <c r="BI935" s="84"/>
      <c r="BL935" s="84"/>
      <c r="BM935" s="84"/>
      <c r="BN935" s="84"/>
      <c r="BO935" s="84"/>
      <c r="BP935" s="84"/>
      <c r="BQ935" s="84"/>
      <c r="BR935" s="84"/>
      <c r="BS935" s="942"/>
      <c r="BT935" s="942"/>
      <c r="BU935" s="942"/>
      <c r="BV935" s="84"/>
    </row>
    <row r="936" spans="14:74" ht="14.25">
      <c r="N936" s="84"/>
      <c r="O936" s="84"/>
      <c r="P936" s="84"/>
      <c r="Q936" s="84"/>
      <c r="R936" s="84"/>
      <c r="S936" s="84"/>
      <c r="T936" s="84"/>
      <c r="U936" s="84"/>
      <c r="V936" s="84"/>
      <c r="W936" s="84"/>
      <c r="Y936" s="84"/>
      <c r="Z936" s="84"/>
      <c r="AA936" s="84"/>
      <c r="AB936" s="84"/>
      <c r="AC936" s="84"/>
      <c r="AD936" s="84"/>
      <c r="AE936" s="84"/>
      <c r="AF936" s="84"/>
      <c r="AG936" s="84"/>
      <c r="AH936" s="84"/>
      <c r="AI936" s="84"/>
      <c r="AL936" s="84"/>
      <c r="AM936" s="84"/>
      <c r="AN936" s="84"/>
      <c r="AO936" s="84"/>
      <c r="AP936" s="84"/>
      <c r="AQ936" s="84"/>
      <c r="AR936" s="84"/>
      <c r="AS936" s="84"/>
      <c r="AT936" s="84"/>
      <c r="AU936" s="84"/>
      <c r="AV936" s="84"/>
      <c r="AY936" s="84"/>
      <c r="AZ936" s="84"/>
      <c r="BA936" s="84"/>
      <c r="BB936" s="84"/>
      <c r="BC936" s="84"/>
      <c r="BD936" s="84"/>
      <c r="BE936" s="84"/>
      <c r="BF936" s="942"/>
      <c r="BG936" s="942"/>
      <c r="BH936" s="942"/>
      <c r="BI936" s="84"/>
      <c r="BL936" s="84"/>
      <c r="BM936" s="84"/>
      <c r="BN936" s="84"/>
      <c r="BO936" s="84"/>
      <c r="BP936" s="84"/>
      <c r="BQ936" s="84"/>
      <c r="BR936" s="84"/>
      <c r="BS936" s="942"/>
      <c r="BT936" s="942"/>
      <c r="BU936" s="942"/>
      <c r="BV936" s="84"/>
    </row>
    <row r="937" spans="14:74" ht="14.25">
      <c r="N937" s="84"/>
      <c r="O937" s="84"/>
      <c r="P937" s="84"/>
      <c r="Q937" s="84"/>
      <c r="R937" s="84"/>
      <c r="S937" s="84"/>
      <c r="T937" s="84"/>
      <c r="U937" s="84"/>
      <c r="V937" s="84"/>
      <c r="W937" s="84"/>
      <c r="Y937" s="84"/>
      <c r="Z937" s="84"/>
      <c r="AA937" s="84"/>
      <c r="AB937" s="84"/>
      <c r="AC937" s="84"/>
      <c r="AD937" s="84"/>
      <c r="AE937" s="84"/>
      <c r="AF937" s="84"/>
      <c r="AG937" s="84"/>
      <c r="AH937" s="84"/>
      <c r="AI937" s="84"/>
      <c r="AL937" s="84"/>
      <c r="AM937" s="84"/>
      <c r="AN937" s="84"/>
      <c r="AO937" s="84"/>
      <c r="AP937" s="84"/>
      <c r="AQ937" s="84"/>
      <c r="AR937" s="84"/>
      <c r="AS937" s="84"/>
      <c r="AT937" s="84"/>
      <c r="AU937" s="84"/>
      <c r="AV937" s="84"/>
      <c r="AY937" s="84"/>
      <c r="AZ937" s="84"/>
      <c r="BA937" s="84"/>
      <c r="BB937" s="84"/>
      <c r="BC937" s="84"/>
      <c r="BD937" s="84"/>
      <c r="BE937" s="84"/>
      <c r="BF937" s="942"/>
      <c r="BG937" s="942"/>
      <c r="BH937" s="942"/>
      <c r="BI937" s="84"/>
      <c r="BL937" s="84"/>
      <c r="BM937" s="84"/>
      <c r="BN937" s="84"/>
      <c r="BO937" s="84"/>
      <c r="BP937" s="84"/>
      <c r="BQ937" s="84"/>
      <c r="BR937" s="84"/>
      <c r="BS937" s="942"/>
      <c r="BT937" s="942"/>
      <c r="BU937" s="942"/>
      <c r="BV937" s="84"/>
    </row>
    <row r="938" spans="14:74" ht="14.25">
      <c r="N938" s="84"/>
      <c r="O938" s="84"/>
      <c r="P938" s="84"/>
      <c r="Q938" s="84"/>
      <c r="R938" s="84"/>
      <c r="S938" s="84"/>
      <c r="T938" s="84"/>
      <c r="U938" s="84"/>
      <c r="V938" s="84"/>
      <c r="W938" s="84"/>
      <c r="Y938" s="84"/>
      <c r="Z938" s="84"/>
      <c r="AA938" s="84"/>
      <c r="AB938" s="84"/>
      <c r="AC938" s="84"/>
      <c r="AD938" s="84"/>
      <c r="AE938" s="84"/>
      <c r="AF938" s="84"/>
      <c r="AG938" s="84"/>
      <c r="AH938" s="84"/>
      <c r="AI938" s="84"/>
      <c r="AL938" s="84"/>
      <c r="AM938" s="84"/>
      <c r="AN938" s="84"/>
      <c r="AO938" s="84"/>
      <c r="AP938" s="84"/>
      <c r="AQ938" s="84"/>
      <c r="AR938" s="84"/>
      <c r="AS938" s="84"/>
      <c r="AT938" s="84"/>
      <c r="AU938" s="84"/>
      <c r="AV938" s="84"/>
      <c r="AY938" s="84"/>
      <c r="AZ938" s="84"/>
      <c r="BA938" s="84"/>
      <c r="BB938" s="84"/>
      <c r="BC938" s="84"/>
      <c r="BD938" s="84"/>
      <c r="BE938" s="84"/>
      <c r="BF938" s="942"/>
      <c r="BG938" s="942"/>
      <c r="BH938" s="942"/>
      <c r="BI938" s="84"/>
      <c r="BL938" s="84"/>
      <c r="BM938" s="84"/>
      <c r="BN938" s="84"/>
      <c r="BO938" s="84"/>
      <c r="BP938" s="84"/>
      <c r="BQ938" s="84"/>
      <c r="BR938" s="84"/>
      <c r="BS938" s="942"/>
      <c r="BT938" s="942"/>
      <c r="BU938" s="942"/>
      <c r="BV938" s="84"/>
    </row>
    <row r="939" spans="14:74" ht="14.25">
      <c r="N939" s="84"/>
      <c r="O939" s="84"/>
      <c r="P939" s="84"/>
      <c r="Q939" s="84"/>
      <c r="R939" s="84"/>
      <c r="S939" s="84"/>
      <c r="T939" s="84"/>
      <c r="U939" s="84"/>
      <c r="V939" s="84"/>
      <c r="W939" s="84"/>
      <c r="Y939" s="84"/>
      <c r="Z939" s="84"/>
      <c r="AA939" s="84"/>
      <c r="AB939" s="84"/>
      <c r="AC939" s="84"/>
      <c r="AD939" s="84"/>
      <c r="AE939" s="84"/>
      <c r="AF939" s="84"/>
      <c r="AG939" s="84"/>
      <c r="AH939" s="84"/>
      <c r="AI939" s="84"/>
      <c r="AL939" s="84"/>
      <c r="AM939" s="84"/>
      <c r="AN939" s="84"/>
      <c r="AO939" s="84"/>
      <c r="AP939" s="84"/>
      <c r="AQ939" s="84"/>
      <c r="AR939" s="84"/>
      <c r="AS939" s="84"/>
      <c r="AT939" s="84"/>
      <c r="AU939" s="84"/>
      <c r="AV939" s="84"/>
      <c r="AY939" s="84"/>
      <c r="AZ939" s="84"/>
      <c r="BA939" s="84"/>
      <c r="BB939" s="84"/>
      <c r="BC939" s="84"/>
      <c r="BD939" s="84"/>
      <c r="BE939" s="84"/>
      <c r="BF939" s="942"/>
      <c r="BG939" s="942"/>
      <c r="BH939" s="942"/>
      <c r="BI939" s="84"/>
      <c r="BL939" s="84"/>
      <c r="BM939" s="84"/>
      <c r="BN939" s="84"/>
      <c r="BO939" s="84"/>
      <c r="BP939" s="84"/>
      <c r="BQ939" s="84"/>
      <c r="BR939" s="84"/>
      <c r="BS939" s="942"/>
      <c r="BT939" s="942"/>
      <c r="BU939" s="942"/>
      <c r="BV939" s="84"/>
    </row>
    <row r="940" spans="14:74" ht="14.25">
      <c r="N940" s="84"/>
      <c r="O940" s="84"/>
      <c r="P940" s="84"/>
      <c r="Q940" s="84"/>
      <c r="R940" s="84"/>
      <c r="S940" s="84"/>
      <c r="T940" s="84"/>
      <c r="U940" s="84"/>
      <c r="V940" s="84"/>
      <c r="W940" s="84"/>
      <c r="Y940" s="84"/>
      <c r="Z940" s="84"/>
      <c r="AA940" s="84"/>
      <c r="AB940" s="84"/>
      <c r="AC940" s="84"/>
      <c r="AD940" s="84"/>
      <c r="AE940" s="84"/>
      <c r="AF940" s="84"/>
      <c r="AG940" s="84"/>
      <c r="AH940" s="84"/>
      <c r="AI940" s="84"/>
      <c r="AL940" s="84"/>
      <c r="AM940" s="84"/>
      <c r="AN940" s="84"/>
      <c r="AO940" s="84"/>
      <c r="AP940" s="84"/>
      <c r="AQ940" s="84"/>
      <c r="AR940" s="84"/>
      <c r="AS940" s="84"/>
      <c r="AT940" s="84"/>
      <c r="AU940" s="84"/>
      <c r="AV940" s="84"/>
      <c r="AY940" s="84"/>
      <c r="AZ940" s="84"/>
      <c r="BA940" s="84"/>
      <c r="BB940" s="84"/>
      <c r="BC940" s="84"/>
      <c r="BD940" s="84"/>
      <c r="BE940" s="84"/>
      <c r="BF940" s="942"/>
      <c r="BG940" s="942"/>
      <c r="BH940" s="942"/>
      <c r="BI940" s="84"/>
      <c r="BL940" s="84"/>
      <c r="BM940" s="84"/>
      <c r="BN940" s="84"/>
      <c r="BO940" s="84"/>
      <c r="BP940" s="84"/>
      <c r="BQ940" s="84"/>
      <c r="BR940" s="84"/>
      <c r="BS940" s="942"/>
      <c r="BT940" s="942"/>
      <c r="BU940" s="942"/>
      <c r="BV940" s="84"/>
    </row>
    <row r="941" spans="14:74" ht="14.25">
      <c r="N941" s="84"/>
      <c r="O941" s="84"/>
      <c r="P941" s="84"/>
      <c r="Q941" s="84"/>
      <c r="R941" s="84"/>
      <c r="S941" s="84"/>
      <c r="T941" s="84"/>
      <c r="U941" s="84"/>
      <c r="V941" s="84"/>
      <c r="W941" s="84"/>
      <c r="Y941" s="84"/>
      <c r="Z941" s="84"/>
      <c r="AA941" s="84"/>
      <c r="AB941" s="84"/>
      <c r="AC941" s="84"/>
      <c r="AD941" s="84"/>
      <c r="AE941" s="84"/>
      <c r="AF941" s="84"/>
      <c r="AG941" s="84"/>
      <c r="AH941" s="84"/>
      <c r="AI941" s="84"/>
      <c r="AL941" s="84"/>
      <c r="AM941" s="84"/>
      <c r="AN941" s="84"/>
      <c r="AO941" s="84"/>
      <c r="AP941" s="84"/>
      <c r="AQ941" s="84"/>
      <c r="AR941" s="84"/>
      <c r="AS941" s="84"/>
      <c r="AT941" s="84"/>
      <c r="AU941" s="84"/>
      <c r="AV941" s="84"/>
      <c r="AY941" s="84"/>
      <c r="AZ941" s="84"/>
      <c r="BA941" s="84"/>
      <c r="BB941" s="84"/>
      <c r="BC941" s="84"/>
      <c r="BD941" s="84"/>
      <c r="BE941" s="84"/>
      <c r="BF941" s="942"/>
      <c r="BG941" s="942"/>
      <c r="BH941" s="942"/>
      <c r="BI941" s="84"/>
      <c r="BL941" s="84"/>
      <c r="BM941" s="84"/>
      <c r="BN941" s="84"/>
      <c r="BO941" s="84"/>
      <c r="BP941" s="84"/>
      <c r="BQ941" s="84"/>
      <c r="BR941" s="84"/>
      <c r="BS941" s="942"/>
      <c r="BT941" s="942"/>
      <c r="BU941" s="942"/>
      <c r="BV941" s="84"/>
    </row>
    <row r="942" spans="14:74" ht="14.25">
      <c r="N942" s="84"/>
      <c r="O942" s="84"/>
      <c r="P942" s="84"/>
      <c r="Q942" s="84"/>
      <c r="R942" s="84"/>
      <c r="S942" s="84"/>
      <c r="T942" s="84"/>
      <c r="U942" s="84"/>
      <c r="V942" s="84"/>
      <c r="W942" s="84"/>
      <c r="Y942" s="84"/>
      <c r="Z942" s="84"/>
      <c r="AA942" s="84"/>
      <c r="AB942" s="84"/>
      <c r="AC942" s="84"/>
      <c r="AD942" s="84"/>
      <c r="AE942" s="84"/>
      <c r="AF942" s="84"/>
      <c r="AG942" s="84"/>
      <c r="AH942" s="84"/>
      <c r="AI942" s="84"/>
      <c r="AL942" s="84"/>
      <c r="AM942" s="84"/>
      <c r="AN942" s="84"/>
      <c r="AO942" s="84"/>
      <c r="AP942" s="84"/>
      <c r="AQ942" s="84"/>
      <c r="AR942" s="84"/>
      <c r="AS942" s="84"/>
      <c r="AT942" s="84"/>
      <c r="AU942" s="84"/>
      <c r="AV942" s="84"/>
      <c r="AY942" s="84"/>
      <c r="AZ942" s="84"/>
      <c r="BA942" s="84"/>
      <c r="BB942" s="84"/>
      <c r="BC942" s="84"/>
      <c r="BD942" s="84"/>
      <c r="BE942" s="84"/>
      <c r="BF942" s="942"/>
      <c r="BG942" s="942"/>
      <c r="BH942" s="942"/>
      <c r="BI942" s="84"/>
      <c r="BL942" s="84"/>
      <c r="BM942" s="84"/>
      <c r="BN942" s="84"/>
      <c r="BO942" s="84"/>
      <c r="BP942" s="84"/>
      <c r="BQ942" s="84"/>
      <c r="BR942" s="84"/>
      <c r="BS942" s="942"/>
      <c r="BT942" s="942"/>
      <c r="BU942" s="942"/>
      <c r="BV942" s="84"/>
    </row>
    <row r="943" spans="14:74" ht="14.25">
      <c r="N943" s="84"/>
      <c r="O943" s="84"/>
      <c r="P943" s="84"/>
      <c r="Q943" s="84"/>
      <c r="R943" s="84"/>
      <c r="S943" s="84"/>
      <c r="T943" s="84"/>
      <c r="U943" s="84"/>
      <c r="V943" s="84"/>
      <c r="W943" s="84"/>
      <c r="Y943" s="84"/>
      <c r="Z943" s="84"/>
      <c r="AA943" s="84"/>
      <c r="AB943" s="84"/>
      <c r="AC943" s="84"/>
      <c r="AD943" s="84"/>
      <c r="AE943" s="84"/>
      <c r="AF943" s="84"/>
      <c r="AG943" s="84"/>
      <c r="AH943" s="84"/>
      <c r="AI943" s="84"/>
      <c r="AL943" s="84"/>
      <c r="AM943" s="84"/>
      <c r="AN943" s="84"/>
      <c r="AO943" s="84"/>
      <c r="AP943" s="84"/>
      <c r="AQ943" s="84"/>
      <c r="AR943" s="84"/>
      <c r="AS943" s="84"/>
      <c r="AT943" s="84"/>
      <c r="AU943" s="84"/>
      <c r="AV943" s="84"/>
      <c r="AY943" s="84"/>
      <c r="AZ943" s="84"/>
      <c r="BA943" s="84"/>
      <c r="BB943" s="84"/>
      <c r="BC943" s="84"/>
      <c r="BD943" s="84"/>
      <c r="BE943" s="84"/>
      <c r="BF943" s="942"/>
      <c r="BG943" s="942"/>
      <c r="BH943" s="942"/>
      <c r="BI943" s="84"/>
      <c r="BL943" s="84"/>
      <c r="BM943" s="84"/>
      <c r="BN943" s="84"/>
      <c r="BO943" s="84"/>
      <c r="BP943" s="84"/>
      <c r="BQ943" s="84"/>
      <c r="BR943" s="84"/>
      <c r="BS943" s="942"/>
      <c r="BT943" s="942"/>
      <c r="BU943" s="942"/>
      <c r="BV943" s="84"/>
    </row>
    <row r="944" spans="14:74" ht="14.25">
      <c r="N944" s="84"/>
      <c r="O944" s="84"/>
      <c r="P944" s="84"/>
      <c r="Q944" s="84"/>
      <c r="R944" s="84"/>
      <c r="S944" s="84"/>
      <c r="T944" s="84"/>
      <c r="U944" s="84"/>
      <c r="V944" s="84"/>
      <c r="W944" s="84"/>
      <c r="Y944" s="84"/>
      <c r="Z944" s="84"/>
      <c r="AA944" s="84"/>
      <c r="AB944" s="84"/>
      <c r="AC944" s="84"/>
      <c r="AD944" s="84"/>
      <c r="AE944" s="84"/>
      <c r="AF944" s="84"/>
      <c r="AG944" s="84"/>
      <c r="AH944" s="84"/>
      <c r="AI944" s="84"/>
      <c r="AL944" s="84"/>
      <c r="AM944" s="84"/>
      <c r="AN944" s="84"/>
      <c r="AO944" s="84"/>
      <c r="AP944" s="84"/>
      <c r="AQ944" s="84"/>
      <c r="AR944" s="84"/>
      <c r="AS944" s="84"/>
      <c r="AT944" s="84"/>
      <c r="AU944" s="84"/>
      <c r="AV944" s="84"/>
      <c r="AY944" s="84"/>
      <c r="AZ944" s="84"/>
      <c r="BA944" s="84"/>
      <c r="BB944" s="84"/>
      <c r="BC944" s="84"/>
      <c r="BD944" s="84"/>
      <c r="BE944" s="84"/>
      <c r="BF944" s="942"/>
      <c r="BG944" s="942"/>
      <c r="BH944" s="942"/>
      <c r="BI944" s="84"/>
      <c r="BL944" s="84"/>
      <c r="BM944" s="84"/>
      <c r="BN944" s="84"/>
      <c r="BO944" s="84"/>
      <c r="BP944" s="84"/>
      <c r="BQ944" s="84"/>
      <c r="BR944" s="84"/>
      <c r="BS944" s="942"/>
      <c r="BT944" s="942"/>
      <c r="BU944" s="942"/>
      <c r="BV944" s="84"/>
    </row>
    <row r="945" spans="14:74" ht="14.25">
      <c r="N945" s="84"/>
      <c r="O945" s="84"/>
      <c r="P945" s="84"/>
      <c r="Q945" s="84"/>
      <c r="R945" s="84"/>
      <c r="S945" s="84"/>
      <c r="T945" s="84"/>
      <c r="U945" s="84"/>
      <c r="V945" s="84"/>
      <c r="W945" s="84"/>
      <c r="Y945" s="84"/>
      <c r="Z945" s="84"/>
      <c r="AA945" s="84"/>
      <c r="AB945" s="84"/>
      <c r="AC945" s="84"/>
      <c r="AD945" s="84"/>
      <c r="AE945" s="84"/>
      <c r="AF945" s="84"/>
      <c r="AG945" s="84"/>
      <c r="AH945" s="84"/>
      <c r="AI945" s="84"/>
      <c r="AL945" s="84"/>
      <c r="AM945" s="84"/>
      <c r="AN945" s="84"/>
      <c r="AO945" s="84"/>
      <c r="AP945" s="84"/>
      <c r="AQ945" s="84"/>
      <c r="AR945" s="84"/>
      <c r="AS945" s="84"/>
      <c r="AT945" s="84"/>
      <c r="AU945" s="84"/>
      <c r="AV945" s="84"/>
      <c r="AY945" s="84"/>
      <c r="AZ945" s="84"/>
      <c r="BA945" s="84"/>
      <c r="BB945" s="84"/>
      <c r="BC945" s="84"/>
      <c r="BD945" s="84"/>
      <c r="BE945" s="84"/>
      <c r="BF945" s="942"/>
      <c r="BG945" s="942"/>
      <c r="BH945" s="942"/>
      <c r="BI945" s="84"/>
      <c r="BL945" s="84"/>
      <c r="BM945" s="84"/>
      <c r="BN945" s="84"/>
      <c r="BO945" s="84"/>
      <c r="BP945" s="84"/>
      <c r="BQ945" s="84"/>
      <c r="BR945" s="84"/>
      <c r="BS945" s="942"/>
      <c r="BT945" s="942"/>
      <c r="BU945" s="942"/>
      <c r="BV945" s="84"/>
    </row>
    <row r="946" spans="14:74" ht="14.25">
      <c r="N946" s="84"/>
      <c r="O946" s="84"/>
      <c r="P946" s="84"/>
      <c r="Q946" s="84"/>
      <c r="R946" s="84"/>
      <c r="S946" s="84"/>
      <c r="T946" s="84"/>
      <c r="U946" s="84"/>
      <c r="V946" s="84"/>
      <c r="W946" s="84"/>
      <c r="Y946" s="84"/>
      <c r="Z946" s="84"/>
      <c r="AA946" s="84"/>
      <c r="AB946" s="84"/>
      <c r="AC946" s="84"/>
      <c r="AD946" s="84"/>
      <c r="AE946" s="84"/>
      <c r="AF946" s="84"/>
      <c r="AG946" s="84"/>
      <c r="AH946" s="84"/>
      <c r="AI946" s="84"/>
      <c r="AL946" s="84"/>
      <c r="AM946" s="84"/>
      <c r="AN946" s="84"/>
      <c r="AO946" s="84"/>
      <c r="AP946" s="84"/>
      <c r="AQ946" s="84"/>
      <c r="AR946" s="84"/>
      <c r="AS946" s="84"/>
      <c r="AT946" s="84"/>
      <c r="AU946" s="84"/>
      <c r="AV946" s="84"/>
      <c r="AY946" s="84"/>
      <c r="AZ946" s="84"/>
      <c r="BA946" s="84"/>
      <c r="BB946" s="84"/>
      <c r="BC946" s="84"/>
      <c r="BD946" s="84"/>
      <c r="BE946" s="84"/>
      <c r="BF946" s="942"/>
      <c r="BG946" s="942"/>
      <c r="BH946" s="942"/>
      <c r="BI946" s="84"/>
      <c r="BL946" s="84"/>
      <c r="BM946" s="84"/>
      <c r="BN946" s="84"/>
      <c r="BO946" s="84"/>
      <c r="BP946" s="84"/>
      <c r="BQ946" s="84"/>
      <c r="BR946" s="84"/>
      <c r="BS946" s="942"/>
      <c r="BT946" s="942"/>
      <c r="BU946" s="942"/>
      <c r="BV946" s="84"/>
    </row>
    <row r="947" spans="14:74" ht="14.25">
      <c r="N947" s="84"/>
      <c r="O947" s="84"/>
      <c r="P947" s="84"/>
      <c r="Q947" s="84"/>
      <c r="R947" s="84"/>
      <c r="S947" s="84"/>
      <c r="T947" s="84"/>
      <c r="U947" s="84"/>
      <c r="V947" s="84"/>
      <c r="W947" s="84"/>
      <c r="Y947" s="84"/>
      <c r="Z947" s="84"/>
      <c r="AA947" s="84"/>
      <c r="AB947" s="84"/>
      <c r="AC947" s="84"/>
      <c r="AD947" s="84"/>
      <c r="AE947" s="84"/>
      <c r="AF947" s="84"/>
      <c r="AG947" s="84"/>
      <c r="AH947" s="84"/>
      <c r="AI947" s="84"/>
      <c r="AL947" s="84"/>
      <c r="AM947" s="84"/>
      <c r="AN947" s="84"/>
      <c r="AO947" s="84"/>
      <c r="AP947" s="84"/>
      <c r="AQ947" s="84"/>
      <c r="AR947" s="84"/>
      <c r="AS947" s="84"/>
      <c r="AT947" s="84"/>
      <c r="AU947" s="84"/>
      <c r="AV947" s="84"/>
      <c r="AY947" s="84"/>
      <c r="AZ947" s="84"/>
      <c r="BA947" s="84"/>
      <c r="BB947" s="84"/>
      <c r="BC947" s="84"/>
      <c r="BD947" s="84"/>
      <c r="BE947" s="84"/>
      <c r="BF947" s="942"/>
      <c r="BG947" s="942"/>
      <c r="BH947" s="942"/>
      <c r="BI947" s="84"/>
      <c r="BL947" s="84"/>
      <c r="BM947" s="84"/>
      <c r="BN947" s="84"/>
      <c r="BO947" s="84"/>
      <c r="BP947" s="84"/>
      <c r="BQ947" s="84"/>
      <c r="BR947" s="84"/>
      <c r="BS947" s="942"/>
      <c r="BT947" s="942"/>
      <c r="BU947" s="942"/>
      <c r="BV947" s="84"/>
    </row>
    <row r="948" spans="14:74" ht="14.25">
      <c r="N948" s="84"/>
      <c r="O948" s="84"/>
      <c r="P948" s="84"/>
      <c r="Q948" s="84"/>
      <c r="R948" s="84"/>
      <c r="S948" s="84"/>
      <c r="T948" s="84"/>
      <c r="U948" s="84"/>
      <c r="V948" s="84"/>
      <c r="W948" s="84"/>
      <c r="Y948" s="84"/>
      <c r="Z948" s="84"/>
      <c r="AA948" s="84"/>
      <c r="AB948" s="84"/>
      <c r="AC948" s="84"/>
      <c r="AD948" s="84"/>
      <c r="AE948" s="84"/>
      <c r="AF948" s="84"/>
      <c r="AG948" s="84"/>
      <c r="AH948" s="84"/>
      <c r="AI948" s="84"/>
      <c r="AL948" s="84"/>
      <c r="AM948" s="84"/>
      <c r="AN948" s="84"/>
      <c r="AO948" s="84"/>
      <c r="AP948" s="84"/>
      <c r="AQ948" s="84"/>
      <c r="AR948" s="84"/>
      <c r="AS948" s="84"/>
      <c r="AT948" s="84"/>
      <c r="AU948" s="84"/>
      <c r="AV948" s="84"/>
      <c r="AY948" s="84"/>
      <c r="AZ948" s="84"/>
      <c r="BA948" s="84"/>
      <c r="BB948" s="84"/>
      <c r="BC948" s="84"/>
      <c r="BD948" s="84"/>
      <c r="BE948" s="84"/>
      <c r="BF948" s="942"/>
      <c r="BG948" s="942"/>
      <c r="BH948" s="942"/>
      <c r="BI948" s="84"/>
      <c r="BL948" s="84"/>
      <c r="BM948" s="84"/>
      <c r="BN948" s="84"/>
      <c r="BO948" s="84"/>
      <c r="BP948" s="84"/>
      <c r="BQ948" s="84"/>
      <c r="BR948" s="84"/>
      <c r="BS948" s="942"/>
      <c r="BT948" s="942"/>
      <c r="BU948" s="942"/>
      <c r="BV948" s="84"/>
    </row>
    <row r="949" spans="14:74" ht="14.25">
      <c r="N949" s="84"/>
      <c r="O949" s="84"/>
      <c r="P949" s="84"/>
      <c r="Q949" s="84"/>
      <c r="R949" s="84"/>
      <c r="S949" s="84"/>
      <c r="T949" s="84"/>
      <c r="U949" s="84"/>
      <c r="V949" s="84"/>
      <c r="W949" s="84"/>
      <c r="Y949" s="84"/>
      <c r="Z949" s="84"/>
      <c r="AA949" s="84"/>
      <c r="AB949" s="84"/>
      <c r="AC949" s="84"/>
      <c r="AD949" s="84"/>
      <c r="AE949" s="84"/>
      <c r="AF949" s="84"/>
      <c r="AG949" s="84"/>
      <c r="AH949" s="84"/>
      <c r="AI949" s="84"/>
      <c r="AL949" s="84"/>
      <c r="AM949" s="84"/>
      <c r="AN949" s="84"/>
      <c r="AO949" s="84"/>
      <c r="AP949" s="84"/>
      <c r="AQ949" s="84"/>
      <c r="AR949" s="84"/>
      <c r="AS949" s="84"/>
      <c r="AT949" s="84"/>
      <c r="AU949" s="84"/>
      <c r="AV949" s="84"/>
      <c r="AY949" s="84"/>
      <c r="AZ949" s="84"/>
      <c r="BA949" s="84"/>
      <c r="BB949" s="84"/>
      <c r="BC949" s="84"/>
      <c r="BD949" s="84"/>
      <c r="BE949" s="84"/>
      <c r="BF949" s="942"/>
      <c r="BG949" s="942"/>
      <c r="BH949" s="942"/>
      <c r="BI949" s="84"/>
      <c r="BL949" s="84"/>
      <c r="BM949" s="84"/>
      <c r="BN949" s="84"/>
      <c r="BO949" s="84"/>
      <c r="BP949" s="84"/>
      <c r="BQ949" s="84"/>
      <c r="BR949" s="84"/>
      <c r="BS949" s="942"/>
      <c r="BT949" s="942"/>
      <c r="BU949" s="942"/>
      <c r="BV949" s="84"/>
    </row>
    <row r="950" spans="14:74" ht="14.25">
      <c r="N950" s="84"/>
      <c r="O950" s="84"/>
      <c r="P950" s="84"/>
      <c r="Q950" s="84"/>
      <c r="R950" s="84"/>
      <c r="S950" s="84"/>
      <c r="T950" s="84"/>
      <c r="U950" s="84"/>
      <c r="V950" s="84"/>
      <c r="W950" s="84"/>
      <c r="Y950" s="84"/>
      <c r="Z950" s="84"/>
      <c r="AA950" s="84"/>
      <c r="AB950" s="84"/>
      <c r="AC950" s="84"/>
      <c r="AD950" s="84"/>
      <c r="AE950" s="84"/>
      <c r="AF950" s="84"/>
      <c r="AG950" s="84"/>
      <c r="AH950" s="84"/>
      <c r="AI950" s="84"/>
      <c r="AL950" s="84"/>
      <c r="AM950" s="84"/>
      <c r="AN950" s="84"/>
      <c r="AO950" s="84"/>
      <c r="AP950" s="84"/>
      <c r="AQ950" s="84"/>
      <c r="AR950" s="84"/>
      <c r="AS950" s="84"/>
      <c r="AT950" s="84"/>
      <c r="AU950" s="84"/>
      <c r="AV950" s="84"/>
      <c r="AY950" s="84"/>
      <c r="AZ950" s="84"/>
      <c r="BA950" s="84"/>
      <c r="BB950" s="84"/>
      <c r="BC950" s="84"/>
      <c r="BD950" s="84"/>
      <c r="BE950" s="84"/>
      <c r="BF950" s="942"/>
      <c r="BG950" s="942"/>
      <c r="BH950" s="942"/>
      <c r="BI950" s="84"/>
      <c r="BL950" s="84"/>
      <c r="BM950" s="84"/>
      <c r="BN950" s="84"/>
      <c r="BO950" s="84"/>
      <c r="BP950" s="84"/>
      <c r="BQ950" s="84"/>
      <c r="BR950" s="84"/>
      <c r="BS950" s="942"/>
      <c r="BT950" s="942"/>
      <c r="BU950" s="942"/>
      <c r="BV950" s="84"/>
    </row>
    <row r="951" spans="14:74" ht="14.25">
      <c r="N951" s="84"/>
      <c r="O951" s="84"/>
      <c r="P951" s="84"/>
      <c r="Q951" s="84"/>
      <c r="R951" s="84"/>
      <c r="S951" s="84"/>
      <c r="T951" s="84"/>
      <c r="U951" s="84"/>
      <c r="V951" s="84"/>
      <c r="W951" s="84"/>
      <c r="Y951" s="84"/>
      <c r="Z951" s="84"/>
      <c r="AA951" s="84"/>
      <c r="AB951" s="84"/>
      <c r="AC951" s="84"/>
      <c r="AD951" s="84"/>
      <c r="AE951" s="84"/>
      <c r="AF951" s="84"/>
      <c r="AG951" s="84"/>
      <c r="AH951" s="84"/>
      <c r="AI951" s="84"/>
      <c r="AL951" s="84"/>
      <c r="AM951" s="84"/>
      <c r="AN951" s="84"/>
      <c r="AO951" s="84"/>
      <c r="AP951" s="84"/>
      <c r="AQ951" s="84"/>
      <c r="AR951" s="84"/>
      <c r="AS951" s="84"/>
      <c r="AT951" s="84"/>
      <c r="AU951" s="84"/>
      <c r="AV951" s="84"/>
      <c r="AY951" s="84"/>
      <c r="AZ951" s="84"/>
      <c r="BA951" s="84"/>
      <c r="BB951" s="84"/>
      <c r="BC951" s="84"/>
      <c r="BD951" s="84"/>
      <c r="BE951" s="84"/>
      <c r="BF951" s="942"/>
      <c r="BG951" s="942"/>
      <c r="BH951" s="942"/>
      <c r="BI951" s="84"/>
      <c r="BL951" s="84"/>
      <c r="BM951" s="84"/>
      <c r="BN951" s="84"/>
      <c r="BO951" s="84"/>
      <c r="BP951" s="84"/>
      <c r="BQ951" s="84"/>
      <c r="BR951" s="84"/>
      <c r="BS951" s="942"/>
      <c r="BT951" s="942"/>
      <c r="BU951" s="942"/>
      <c r="BV951" s="84"/>
    </row>
    <row r="952" spans="14:74" ht="14.25">
      <c r="N952" s="84"/>
      <c r="O952" s="84"/>
      <c r="P952" s="84"/>
      <c r="Q952" s="84"/>
      <c r="R952" s="84"/>
      <c r="S952" s="84"/>
      <c r="T952" s="84"/>
      <c r="U952" s="84"/>
      <c r="V952" s="84"/>
      <c r="W952" s="84"/>
      <c r="Y952" s="84"/>
      <c r="Z952" s="84"/>
      <c r="AA952" s="84"/>
      <c r="AB952" s="84"/>
      <c r="AC952" s="84"/>
      <c r="AD952" s="84"/>
      <c r="AE952" s="84"/>
      <c r="AF952" s="84"/>
      <c r="AG952" s="84"/>
      <c r="AH952" s="84"/>
      <c r="AI952" s="84"/>
      <c r="AL952" s="84"/>
      <c r="AM952" s="84"/>
      <c r="AN952" s="84"/>
      <c r="AO952" s="84"/>
      <c r="AP952" s="84"/>
      <c r="AQ952" s="84"/>
      <c r="AR952" s="84"/>
      <c r="AS952" s="84"/>
      <c r="AT952" s="84"/>
      <c r="AU952" s="84"/>
      <c r="AV952" s="84"/>
      <c r="AY952" s="84"/>
      <c r="AZ952" s="84"/>
      <c r="BA952" s="84"/>
      <c r="BB952" s="84"/>
      <c r="BC952" s="84"/>
      <c r="BD952" s="84"/>
      <c r="BE952" s="84"/>
      <c r="BF952" s="942"/>
      <c r="BG952" s="942"/>
      <c r="BH952" s="942"/>
      <c r="BI952" s="84"/>
      <c r="BL952" s="84"/>
      <c r="BM952" s="84"/>
      <c r="BN952" s="84"/>
      <c r="BO952" s="84"/>
      <c r="BP952" s="84"/>
      <c r="BQ952" s="84"/>
      <c r="BR952" s="84"/>
      <c r="BS952" s="942"/>
      <c r="BT952" s="942"/>
      <c r="BU952" s="942"/>
      <c r="BV952" s="84"/>
    </row>
    <row r="953" spans="14:74" ht="14.25">
      <c r="N953" s="84"/>
      <c r="O953" s="84"/>
      <c r="P953" s="84"/>
      <c r="Q953" s="84"/>
      <c r="R953" s="84"/>
      <c r="S953" s="84"/>
      <c r="T953" s="84"/>
      <c r="U953" s="84"/>
      <c r="V953" s="84"/>
      <c r="W953" s="84"/>
      <c r="Y953" s="84"/>
      <c r="Z953" s="84"/>
      <c r="AA953" s="84"/>
      <c r="AB953" s="84"/>
      <c r="AC953" s="84"/>
      <c r="AD953" s="84"/>
      <c r="AE953" s="84"/>
      <c r="AF953" s="84"/>
      <c r="AG953" s="84"/>
      <c r="AH953" s="84"/>
      <c r="AI953" s="84"/>
      <c r="AL953" s="84"/>
      <c r="AM953" s="84"/>
      <c r="AN953" s="84"/>
      <c r="AO953" s="84"/>
      <c r="AP953" s="84"/>
      <c r="AQ953" s="84"/>
      <c r="AR953" s="84"/>
      <c r="AS953" s="84"/>
      <c r="AT953" s="84"/>
      <c r="AU953" s="84"/>
      <c r="AV953" s="84"/>
      <c r="AY953" s="84"/>
      <c r="AZ953" s="84"/>
      <c r="BA953" s="84"/>
      <c r="BB953" s="84"/>
      <c r="BC953" s="84"/>
      <c r="BD953" s="84"/>
      <c r="BE953" s="84"/>
      <c r="BF953" s="942"/>
      <c r="BG953" s="942"/>
      <c r="BH953" s="942"/>
      <c r="BI953" s="84"/>
      <c r="BL953" s="84"/>
      <c r="BM953" s="84"/>
      <c r="BN953" s="84"/>
      <c r="BO953" s="84"/>
      <c r="BP953" s="84"/>
      <c r="BQ953" s="84"/>
      <c r="BR953" s="84"/>
      <c r="BS953" s="942"/>
      <c r="BT953" s="942"/>
      <c r="BU953" s="942"/>
      <c r="BV953" s="84"/>
    </row>
    <row r="954" spans="14:74" ht="14.25">
      <c r="N954" s="84"/>
      <c r="O954" s="84"/>
      <c r="P954" s="84"/>
      <c r="Q954" s="84"/>
      <c r="R954" s="84"/>
      <c r="S954" s="84"/>
      <c r="T954" s="84"/>
      <c r="U954" s="84"/>
      <c r="V954" s="84"/>
      <c r="W954" s="84"/>
      <c r="Y954" s="84"/>
      <c r="Z954" s="84"/>
      <c r="AA954" s="84"/>
      <c r="AB954" s="84"/>
      <c r="AC954" s="84"/>
      <c r="AD954" s="84"/>
      <c r="AE954" s="84"/>
      <c r="AF954" s="84"/>
      <c r="AG954" s="84"/>
      <c r="AH954" s="84"/>
      <c r="AI954" s="84"/>
      <c r="AL954" s="84"/>
      <c r="AM954" s="84"/>
      <c r="AN954" s="84"/>
      <c r="AO954" s="84"/>
      <c r="AP954" s="84"/>
      <c r="AQ954" s="84"/>
      <c r="AR954" s="84"/>
      <c r="AS954" s="84"/>
      <c r="AT954" s="84"/>
      <c r="AU954" s="84"/>
      <c r="AV954" s="84"/>
      <c r="AY954" s="84"/>
      <c r="AZ954" s="84"/>
      <c r="BA954" s="84"/>
      <c r="BB954" s="84"/>
      <c r="BC954" s="84"/>
      <c r="BD954" s="84"/>
      <c r="BE954" s="84"/>
      <c r="BF954" s="942"/>
      <c r="BG954" s="942"/>
      <c r="BH954" s="942"/>
      <c r="BI954" s="84"/>
      <c r="BL954" s="84"/>
      <c r="BM954" s="84"/>
      <c r="BN954" s="84"/>
      <c r="BO954" s="84"/>
      <c r="BP954" s="84"/>
      <c r="BQ954" s="84"/>
      <c r="BR954" s="84"/>
      <c r="BS954" s="942"/>
      <c r="BT954" s="942"/>
      <c r="BU954" s="942"/>
      <c r="BV954" s="84"/>
    </row>
    <row r="955" spans="14:74" ht="14.25">
      <c r="N955" s="84"/>
      <c r="O955" s="84"/>
      <c r="P955" s="84"/>
      <c r="Q955" s="84"/>
      <c r="R955" s="84"/>
      <c r="S955" s="84"/>
      <c r="T955" s="84"/>
      <c r="U955" s="84"/>
      <c r="V955" s="84"/>
      <c r="W955" s="84"/>
      <c r="Y955" s="84"/>
      <c r="Z955" s="84"/>
      <c r="AA955" s="84"/>
      <c r="AB955" s="84"/>
      <c r="AC955" s="84"/>
      <c r="AD955" s="84"/>
      <c r="AE955" s="84"/>
      <c r="AF955" s="84"/>
      <c r="AG955" s="84"/>
      <c r="AH955" s="84"/>
      <c r="AI955" s="84"/>
      <c r="AL955" s="84"/>
      <c r="AM955" s="84"/>
      <c r="AN955" s="84"/>
      <c r="AO955" s="84"/>
      <c r="AP955" s="84"/>
      <c r="AQ955" s="84"/>
      <c r="AR955" s="84"/>
      <c r="AS955" s="84"/>
      <c r="AT955" s="84"/>
      <c r="AU955" s="84"/>
      <c r="AV955" s="84"/>
      <c r="AY955" s="84"/>
      <c r="AZ955" s="84"/>
      <c r="BA955" s="84"/>
      <c r="BB955" s="84"/>
      <c r="BC955" s="84"/>
      <c r="BD955" s="84"/>
      <c r="BE955" s="84"/>
      <c r="BF955" s="942"/>
      <c r="BG955" s="942"/>
      <c r="BH955" s="942"/>
      <c r="BI955" s="84"/>
      <c r="BL955" s="84"/>
      <c r="BM955" s="84"/>
      <c r="BN955" s="84"/>
      <c r="BO955" s="84"/>
      <c r="BP955" s="84"/>
      <c r="BQ955" s="84"/>
      <c r="BR955" s="84"/>
      <c r="BS955" s="942"/>
      <c r="BT955" s="942"/>
      <c r="BU955" s="942"/>
      <c r="BV955" s="84"/>
    </row>
    <row r="956" spans="14:74" ht="14.25">
      <c r="N956" s="84"/>
      <c r="O956" s="84"/>
      <c r="P956" s="84"/>
      <c r="Q956" s="84"/>
      <c r="R956" s="84"/>
      <c r="S956" s="84"/>
      <c r="T956" s="84"/>
      <c r="U956" s="84"/>
      <c r="V956" s="84"/>
      <c r="W956" s="84"/>
      <c r="Y956" s="84"/>
      <c r="Z956" s="84"/>
      <c r="AA956" s="84"/>
      <c r="AB956" s="84"/>
      <c r="AC956" s="84"/>
      <c r="AD956" s="84"/>
      <c r="AE956" s="84"/>
      <c r="AF956" s="84"/>
      <c r="AG956" s="84"/>
      <c r="AH956" s="84"/>
      <c r="AI956" s="84"/>
      <c r="AL956" s="84"/>
      <c r="AM956" s="84"/>
      <c r="AN956" s="84"/>
      <c r="AO956" s="84"/>
      <c r="AP956" s="84"/>
      <c r="AQ956" s="84"/>
      <c r="AR956" s="84"/>
      <c r="AS956" s="84"/>
      <c r="AT956" s="84"/>
      <c r="AU956" s="84"/>
      <c r="AV956" s="84"/>
      <c r="AY956" s="84"/>
      <c r="AZ956" s="84"/>
      <c r="BA956" s="84"/>
      <c r="BB956" s="84"/>
      <c r="BC956" s="84"/>
      <c r="BD956" s="84"/>
      <c r="BE956" s="84"/>
      <c r="BF956" s="942"/>
      <c r="BG956" s="942"/>
      <c r="BH956" s="942"/>
      <c r="BI956" s="84"/>
      <c r="BL956" s="84"/>
      <c r="BM956" s="84"/>
      <c r="BN956" s="84"/>
      <c r="BO956" s="84"/>
      <c r="BP956" s="84"/>
      <c r="BQ956" s="84"/>
      <c r="BR956" s="84"/>
      <c r="BS956" s="942"/>
      <c r="BT956" s="942"/>
      <c r="BU956" s="942"/>
      <c r="BV956" s="84"/>
    </row>
    <row r="957" spans="14:74" ht="14.25">
      <c r="N957" s="84"/>
      <c r="O957" s="84"/>
      <c r="P957" s="84"/>
      <c r="Q957" s="84"/>
      <c r="R957" s="84"/>
      <c r="S957" s="84"/>
      <c r="T957" s="84"/>
      <c r="U957" s="84"/>
      <c r="V957" s="84"/>
      <c r="W957" s="84"/>
      <c r="Y957" s="84"/>
      <c r="Z957" s="84"/>
      <c r="AA957" s="84"/>
      <c r="AB957" s="84"/>
      <c r="AC957" s="84"/>
      <c r="AD957" s="84"/>
      <c r="AE957" s="84"/>
      <c r="AF957" s="84"/>
      <c r="AG957" s="84"/>
      <c r="AH957" s="84"/>
      <c r="AI957" s="84"/>
      <c r="AL957" s="84"/>
      <c r="AM957" s="84"/>
      <c r="AN957" s="84"/>
      <c r="AO957" s="84"/>
      <c r="AP957" s="84"/>
      <c r="AQ957" s="84"/>
      <c r="AR957" s="84"/>
      <c r="AS957" s="84"/>
      <c r="AT957" s="84"/>
      <c r="AU957" s="84"/>
      <c r="AV957" s="84"/>
      <c r="AY957" s="84"/>
      <c r="AZ957" s="84"/>
      <c r="BA957" s="84"/>
      <c r="BB957" s="84"/>
      <c r="BC957" s="84"/>
      <c r="BD957" s="84"/>
      <c r="BE957" s="84"/>
      <c r="BF957" s="942"/>
      <c r="BG957" s="942"/>
      <c r="BH957" s="942"/>
      <c r="BI957" s="84"/>
      <c r="BL957" s="84"/>
      <c r="BM957" s="84"/>
      <c r="BN957" s="84"/>
      <c r="BO957" s="84"/>
      <c r="BP957" s="84"/>
      <c r="BQ957" s="84"/>
      <c r="BR957" s="84"/>
      <c r="BS957" s="942"/>
      <c r="BT957" s="942"/>
      <c r="BU957" s="942"/>
      <c r="BV957" s="84"/>
    </row>
    <row r="958" spans="14:74" ht="14.25">
      <c r="N958" s="84"/>
      <c r="O958" s="84"/>
      <c r="P958" s="84"/>
      <c r="Q958" s="84"/>
      <c r="R958" s="84"/>
      <c r="S958" s="84"/>
      <c r="T958" s="84"/>
      <c r="U958" s="84"/>
      <c r="V958" s="84"/>
      <c r="W958" s="84"/>
      <c r="Y958" s="84"/>
      <c r="Z958" s="84"/>
      <c r="AA958" s="84"/>
      <c r="AB958" s="84"/>
      <c r="AC958" s="84"/>
      <c r="AD958" s="84"/>
      <c r="AE958" s="84"/>
      <c r="AF958" s="84"/>
      <c r="AG958" s="84"/>
      <c r="AH958" s="84"/>
      <c r="AI958" s="84"/>
      <c r="AL958" s="84"/>
      <c r="AM958" s="84"/>
      <c r="AN958" s="84"/>
      <c r="AO958" s="84"/>
      <c r="AP958" s="84"/>
      <c r="AQ958" s="84"/>
      <c r="AR958" s="84"/>
      <c r="AS958" s="84"/>
      <c r="AT958" s="84"/>
      <c r="AU958" s="84"/>
      <c r="AV958" s="84"/>
      <c r="AY958" s="84"/>
      <c r="AZ958" s="84"/>
      <c r="BA958" s="84"/>
      <c r="BB958" s="84"/>
      <c r="BC958" s="84"/>
      <c r="BD958" s="84"/>
      <c r="BE958" s="84"/>
      <c r="BF958" s="942"/>
      <c r="BG958" s="942"/>
      <c r="BH958" s="942"/>
      <c r="BI958" s="84"/>
      <c r="BL958" s="84"/>
      <c r="BM958" s="84"/>
      <c r="BN958" s="84"/>
      <c r="BO958" s="84"/>
      <c r="BP958" s="84"/>
      <c r="BQ958" s="84"/>
      <c r="BR958" s="84"/>
      <c r="BS958" s="942"/>
      <c r="BT958" s="942"/>
      <c r="BU958" s="942"/>
      <c r="BV958" s="84"/>
    </row>
    <row r="959" spans="14:74" ht="14.25">
      <c r="N959" s="84"/>
      <c r="O959" s="84"/>
      <c r="P959" s="84"/>
      <c r="Q959" s="84"/>
      <c r="R959" s="84"/>
      <c r="S959" s="84"/>
      <c r="T959" s="84"/>
      <c r="U959" s="84"/>
      <c r="V959" s="84"/>
      <c r="W959" s="84"/>
      <c r="Y959" s="84"/>
      <c r="Z959" s="84"/>
      <c r="AA959" s="84"/>
      <c r="AB959" s="84"/>
      <c r="AC959" s="84"/>
      <c r="AD959" s="84"/>
      <c r="AE959" s="84"/>
      <c r="AF959" s="84"/>
      <c r="AG959" s="84"/>
      <c r="AH959" s="84"/>
      <c r="AI959" s="84"/>
      <c r="AL959" s="84"/>
      <c r="AM959" s="84"/>
      <c r="AN959" s="84"/>
      <c r="AO959" s="84"/>
      <c r="AP959" s="84"/>
      <c r="AQ959" s="84"/>
      <c r="AR959" s="84"/>
      <c r="AS959" s="84"/>
      <c r="AT959" s="84"/>
      <c r="AU959" s="84"/>
      <c r="AV959" s="84"/>
      <c r="AY959" s="84"/>
      <c r="AZ959" s="84"/>
      <c r="BA959" s="84"/>
      <c r="BB959" s="84"/>
      <c r="BC959" s="84"/>
      <c r="BD959" s="84"/>
      <c r="BE959" s="84"/>
      <c r="BF959" s="942"/>
      <c r="BG959" s="942"/>
      <c r="BH959" s="942"/>
      <c r="BI959" s="84"/>
      <c r="BL959" s="84"/>
      <c r="BM959" s="84"/>
      <c r="BN959" s="84"/>
      <c r="BO959" s="84"/>
      <c r="BP959" s="84"/>
      <c r="BQ959" s="84"/>
      <c r="BR959" s="84"/>
      <c r="BS959" s="942"/>
      <c r="BT959" s="942"/>
      <c r="BU959" s="942"/>
      <c r="BV959" s="84"/>
    </row>
    <row r="960" spans="14:74" ht="14.25">
      <c r="N960" s="84"/>
      <c r="O960" s="84"/>
      <c r="P960" s="84"/>
      <c r="Q960" s="84"/>
      <c r="R960" s="84"/>
      <c r="S960" s="84"/>
      <c r="T960" s="84"/>
      <c r="U960" s="84"/>
      <c r="V960" s="84"/>
      <c r="W960" s="84"/>
      <c r="Y960" s="84"/>
      <c r="Z960" s="84"/>
      <c r="AA960" s="84"/>
      <c r="AB960" s="84"/>
      <c r="AC960" s="84"/>
      <c r="AD960" s="84"/>
      <c r="AE960" s="84"/>
      <c r="AF960" s="84"/>
      <c r="AG960" s="84"/>
      <c r="AH960" s="84"/>
      <c r="AI960" s="84"/>
      <c r="AL960" s="84"/>
      <c r="AM960" s="84"/>
      <c r="AN960" s="84"/>
      <c r="AO960" s="84"/>
      <c r="AP960" s="84"/>
      <c r="AQ960" s="84"/>
      <c r="AR960" s="84"/>
      <c r="AS960" s="84"/>
      <c r="AT960" s="84"/>
      <c r="AU960" s="84"/>
      <c r="AV960" s="84"/>
      <c r="AY960" s="84"/>
      <c r="AZ960" s="84"/>
      <c r="BA960" s="84"/>
      <c r="BB960" s="84"/>
      <c r="BC960" s="84"/>
      <c r="BD960" s="84"/>
      <c r="BE960" s="84"/>
      <c r="BF960" s="942"/>
      <c r="BG960" s="942"/>
      <c r="BH960" s="942"/>
      <c r="BI960" s="84"/>
      <c r="BL960" s="84"/>
      <c r="BM960" s="84"/>
      <c r="BN960" s="84"/>
      <c r="BO960" s="84"/>
      <c r="BP960" s="84"/>
      <c r="BQ960" s="84"/>
      <c r="BR960" s="84"/>
      <c r="BS960" s="942"/>
      <c r="BT960" s="942"/>
      <c r="BU960" s="942"/>
      <c r="BV960" s="84"/>
    </row>
    <row r="961" spans="14:74" ht="14.25">
      <c r="N961" s="84"/>
      <c r="O961" s="84"/>
      <c r="P961" s="84"/>
      <c r="Q961" s="84"/>
      <c r="R961" s="84"/>
      <c r="S961" s="84"/>
      <c r="T961" s="84"/>
      <c r="U961" s="84"/>
      <c r="V961" s="84"/>
      <c r="W961" s="84"/>
      <c r="Y961" s="84"/>
      <c r="Z961" s="84"/>
      <c r="AA961" s="84"/>
      <c r="AB961" s="84"/>
      <c r="AC961" s="84"/>
      <c r="AD961" s="84"/>
      <c r="AE961" s="84"/>
      <c r="AF961" s="84"/>
      <c r="AG961" s="84"/>
      <c r="AH961" s="84"/>
      <c r="AI961" s="84"/>
      <c r="AL961" s="84"/>
      <c r="AM961" s="84"/>
      <c r="AN961" s="84"/>
      <c r="AO961" s="84"/>
      <c r="AP961" s="84"/>
      <c r="AQ961" s="84"/>
      <c r="AR961" s="84"/>
      <c r="AS961" s="84"/>
      <c r="AT961" s="84"/>
      <c r="AU961" s="84"/>
      <c r="AV961" s="84"/>
      <c r="AY961" s="84"/>
      <c r="AZ961" s="84"/>
      <c r="BA961" s="84"/>
      <c r="BB961" s="84"/>
      <c r="BC961" s="84"/>
      <c r="BD961" s="84"/>
      <c r="BE961" s="84"/>
      <c r="BF961" s="942"/>
      <c r="BG961" s="942"/>
      <c r="BH961" s="942"/>
      <c r="BI961" s="84"/>
      <c r="BL961" s="84"/>
      <c r="BM961" s="84"/>
      <c r="BN961" s="84"/>
      <c r="BO961" s="84"/>
      <c r="BP961" s="84"/>
      <c r="BQ961" s="84"/>
      <c r="BR961" s="84"/>
      <c r="BS961" s="942"/>
      <c r="BT961" s="942"/>
      <c r="BU961" s="942"/>
      <c r="BV961" s="84"/>
    </row>
    <row r="962" spans="14:74" ht="14.25">
      <c r="N962" s="84"/>
      <c r="O962" s="84"/>
      <c r="P962" s="84"/>
      <c r="Q962" s="84"/>
      <c r="R962" s="84"/>
      <c r="S962" s="84"/>
      <c r="T962" s="84"/>
      <c r="U962" s="84"/>
      <c r="V962" s="84"/>
      <c r="W962" s="84"/>
      <c r="Y962" s="84"/>
      <c r="Z962" s="84"/>
      <c r="AA962" s="84"/>
      <c r="AB962" s="84"/>
      <c r="AC962" s="84"/>
      <c r="AD962" s="84"/>
      <c r="AE962" s="84"/>
      <c r="AF962" s="84"/>
      <c r="AG962" s="84"/>
      <c r="AH962" s="84"/>
      <c r="AI962" s="84"/>
      <c r="AL962" s="84"/>
      <c r="AM962" s="84"/>
      <c r="AN962" s="84"/>
      <c r="AO962" s="84"/>
      <c r="AP962" s="84"/>
      <c r="AQ962" s="84"/>
      <c r="AR962" s="84"/>
      <c r="AS962" s="84"/>
      <c r="AT962" s="84"/>
      <c r="AU962" s="84"/>
      <c r="AV962" s="84"/>
      <c r="AY962" s="84"/>
      <c r="AZ962" s="84"/>
      <c r="BA962" s="84"/>
      <c r="BB962" s="84"/>
      <c r="BC962" s="84"/>
      <c r="BD962" s="84"/>
      <c r="BE962" s="84"/>
      <c r="BF962" s="942"/>
      <c r="BG962" s="942"/>
      <c r="BH962" s="942"/>
      <c r="BI962" s="84"/>
      <c r="BL962" s="84"/>
      <c r="BM962" s="84"/>
      <c r="BN962" s="84"/>
      <c r="BO962" s="84"/>
      <c r="BP962" s="84"/>
      <c r="BQ962" s="84"/>
      <c r="BR962" s="84"/>
      <c r="BS962" s="942"/>
      <c r="BT962" s="942"/>
      <c r="BU962" s="942"/>
      <c r="BV962" s="84"/>
    </row>
    <row r="963" spans="14:74" ht="14.25">
      <c r="N963" s="84"/>
      <c r="O963" s="84"/>
      <c r="P963" s="84"/>
      <c r="Q963" s="84"/>
      <c r="R963" s="84"/>
      <c r="S963" s="84"/>
      <c r="T963" s="84"/>
      <c r="U963" s="84"/>
      <c r="V963" s="84"/>
      <c r="W963" s="84"/>
      <c r="Y963" s="84"/>
      <c r="Z963" s="84"/>
      <c r="AA963" s="84"/>
      <c r="AB963" s="84"/>
      <c r="AC963" s="84"/>
      <c r="AD963" s="84"/>
      <c r="AE963" s="84"/>
      <c r="AF963" s="84"/>
      <c r="AG963" s="84"/>
      <c r="AH963" s="84"/>
      <c r="AI963" s="84"/>
      <c r="AL963" s="84"/>
      <c r="AM963" s="84"/>
      <c r="AN963" s="84"/>
      <c r="AO963" s="84"/>
      <c r="AP963" s="84"/>
      <c r="AQ963" s="84"/>
      <c r="AR963" s="84"/>
      <c r="AS963" s="84"/>
      <c r="AT963" s="84"/>
      <c r="AU963" s="84"/>
      <c r="AV963" s="84"/>
      <c r="AY963" s="84"/>
      <c r="AZ963" s="84"/>
      <c r="BA963" s="84"/>
      <c r="BB963" s="84"/>
      <c r="BC963" s="84"/>
      <c r="BD963" s="84"/>
      <c r="BE963" s="84"/>
      <c r="BF963" s="942"/>
      <c r="BG963" s="942"/>
      <c r="BH963" s="942"/>
      <c r="BI963" s="84"/>
      <c r="BL963" s="84"/>
      <c r="BM963" s="84"/>
      <c r="BN963" s="84"/>
      <c r="BO963" s="84"/>
      <c r="BP963" s="84"/>
      <c r="BQ963" s="84"/>
      <c r="BR963" s="84"/>
      <c r="BS963" s="942"/>
      <c r="BT963" s="942"/>
      <c r="BU963" s="942"/>
      <c r="BV963" s="84"/>
    </row>
    <row r="964" spans="14:74" ht="14.25">
      <c r="N964" s="84"/>
      <c r="O964" s="84"/>
      <c r="P964" s="84"/>
      <c r="Q964" s="84"/>
      <c r="R964" s="84"/>
      <c r="S964" s="84"/>
      <c r="T964" s="84"/>
      <c r="U964" s="84"/>
      <c r="V964" s="84"/>
      <c r="W964" s="84"/>
      <c r="Y964" s="84"/>
      <c r="Z964" s="84"/>
      <c r="AA964" s="84"/>
      <c r="AB964" s="84"/>
      <c r="AC964" s="84"/>
      <c r="AD964" s="84"/>
      <c r="AE964" s="84"/>
      <c r="AF964" s="84"/>
      <c r="AG964" s="84"/>
      <c r="AH964" s="84"/>
      <c r="AI964" s="84"/>
      <c r="AL964" s="84"/>
      <c r="AM964" s="84"/>
      <c r="AN964" s="84"/>
      <c r="AO964" s="84"/>
      <c r="AP964" s="84"/>
      <c r="AQ964" s="84"/>
      <c r="AR964" s="84"/>
      <c r="AS964" s="84"/>
      <c r="AT964" s="84"/>
      <c r="AU964" s="84"/>
      <c r="AV964" s="84"/>
      <c r="AY964" s="84"/>
      <c r="AZ964" s="84"/>
      <c r="BA964" s="84"/>
      <c r="BB964" s="84"/>
      <c r="BC964" s="84"/>
      <c r="BD964" s="84"/>
      <c r="BE964" s="84"/>
      <c r="BF964" s="942"/>
      <c r="BG964" s="942"/>
      <c r="BH964" s="942"/>
      <c r="BI964" s="84"/>
      <c r="BL964" s="84"/>
      <c r="BM964" s="84"/>
      <c r="BN964" s="84"/>
      <c r="BO964" s="84"/>
      <c r="BP964" s="84"/>
      <c r="BQ964" s="84"/>
      <c r="BR964" s="84"/>
      <c r="BS964" s="942"/>
      <c r="BT964" s="942"/>
      <c r="BU964" s="942"/>
      <c r="BV964" s="84"/>
    </row>
    <row r="965" spans="14:74" ht="14.25">
      <c r="N965" s="84"/>
      <c r="O965" s="84"/>
      <c r="P965" s="84"/>
      <c r="Q965" s="84"/>
      <c r="R965" s="84"/>
      <c r="S965" s="84"/>
      <c r="T965" s="84"/>
      <c r="U965" s="84"/>
      <c r="V965" s="84"/>
      <c r="W965" s="84"/>
      <c r="Y965" s="84"/>
      <c r="Z965" s="84"/>
      <c r="AA965" s="84"/>
      <c r="AB965" s="84"/>
      <c r="AC965" s="84"/>
      <c r="AD965" s="84"/>
      <c r="AE965" s="84"/>
      <c r="AF965" s="84"/>
      <c r="AG965" s="84"/>
      <c r="AH965" s="84"/>
      <c r="AI965" s="84"/>
      <c r="AL965" s="84"/>
      <c r="AM965" s="84"/>
      <c r="AN965" s="84"/>
      <c r="AO965" s="84"/>
      <c r="AP965" s="84"/>
      <c r="AQ965" s="84"/>
      <c r="AR965" s="84"/>
      <c r="AS965" s="84"/>
      <c r="AT965" s="84"/>
      <c r="AU965" s="84"/>
      <c r="AV965" s="84"/>
      <c r="AY965" s="84"/>
      <c r="AZ965" s="84"/>
      <c r="BA965" s="84"/>
      <c r="BB965" s="84"/>
      <c r="BC965" s="84"/>
      <c r="BD965" s="84"/>
      <c r="BE965" s="84"/>
      <c r="BF965" s="942"/>
      <c r="BG965" s="942"/>
      <c r="BH965" s="942"/>
      <c r="BI965" s="84"/>
      <c r="BL965" s="84"/>
      <c r="BM965" s="84"/>
      <c r="BN965" s="84"/>
      <c r="BO965" s="84"/>
      <c r="BP965" s="84"/>
      <c r="BQ965" s="84"/>
      <c r="BR965" s="84"/>
      <c r="BS965" s="942"/>
      <c r="BT965" s="942"/>
      <c r="BU965" s="942"/>
      <c r="BV965" s="84"/>
    </row>
    <row r="966" spans="14:74" ht="14.25">
      <c r="N966" s="84"/>
      <c r="O966" s="84"/>
      <c r="P966" s="84"/>
      <c r="Q966" s="84"/>
      <c r="R966" s="84"/>
      <c r="S966" s="84"/>
      <c r="T966" s="84"/>
      <c r="U966" s="84"/>
      <c r="V966" s="84"/>
      <c r="W966" s="84"/>
      <c r="Y966" s="84"/>
      <c r="Z966" s="84"/>
      <c r="AA966" s="84"/>
      <c r="AB966" s="84"/>
      <c r="AC966" s="84"/>
      <c r="AD966" s="84"/>
      <c r="AE966" s="84"/>
      <c r="AF966" s="84"/>
      <c r="AG966" s="84"/>
      <c r="AH966" s="84"/>
      <c r="AI966" s="84"/>
      <c r="AL966" s="84"/>
      <c r="AM966" s="84"/>
      <c r="AN966" s="84"/>
      <c r="AO966" s="84"/>
      <c r="AP966" s="84"/>
      <c r="AQ966" s="84"/>
      <c r="AR966" s="84"/>
      <c r="AS966" s="84"/>
      <c r="AT966" s="84"/>
      <c r="AU966" s="84"/>
      <c r="AV966" s="84"/>
      <c r="AY966" s="84"/>
      <c r="AZ966" s="84"/>
      <c r="BA966" s="84"/>
      <c r="BB966" s="84"/>
      <c r="BC966" s="84"/>
      <c r="BD966" s="84"/>
      <c r="BE966" s="84"/>
      <c r="BF966" s="942"/>
      <c r="BG966" s="942"/>
      <c r="BH966" s="942"/>
      <c r="BI966" s="84"/>
      <c r="BL966" s="84"/>
      <c r="BM966" s="84"/>
      <c r="BN966" s="84"/>
      <c r="BO966" s="84"/>
      <c r="BP966" s="84"/>
      <c r="BQ966" s="84"/>
      <c r="BR966" s="84"/>
      <c r="BS966" s="942"/>
      <c r="BT966" s="942"/>
      <c r="BU966" s="942"/>
      <c r="BV966" s="84"/>
    </row>
    <row r="967" spans="14:74" ht="14.25">
      <c r="N967" s="84"/>
      <c r="O967" s="84"/>
      <c r="P967" s="84"/>
      <c r="Q967" s="84"/>
      <c r="R967" s="84"/>
      <c r="S967" s="84"/>
      <c r="T967" s="84"/>
      <c r="U967" s="84"/>
      <c r="V967" s="84"/>
      <c r="W967" s="84"/>
      <c r="Y967" s="84"/>
      <c r="Z967" s="84"/>
      <c r="AA967" s="84"/>
      <c r="AB967" s="84"/>
      <c r="AC967" s="84"/>
      <c r="AD967" s="84"/>
      <c r="AE967" s="84"/>
      <c r="AF967" s="84"/>
      <c r="AG967" s="84"/>
      <c r="AH967" s="84"/>
      <c r="AI967" s="84"/>
      <c r="AL967" s="84"/>
      <c r="AM967" s="84"/>
      <c r="AN967" s="84"/>
      <c r="AO967" s="84"/>
      <c r="AP967" s="84"/>
      <c r="AQ967" s="84"/>
      <c r="AR967" s="84"/>
      <c r="AS967" s="84"/>
      <c r="AT967" s="84"/>
      <c r="AU967" s="84"/>
      <c r="AV967" s="84"/>
      <c r="AY967" s="84"/>
      <c r="AZ967" s="84"/>
      <c r="BA967" s="84"/>
      <c r="BB967" s="84"/>
      <c r="BC967" s="84"/>
      <c r="BD967" s="84"/>
      <c r="BE967" s="84"/>
      <c r="BF967" s="942"/>
      <c r="BG967" s="942"/>
      <c r="BH967" s="942"/>
      <c r="BI967" s="84"/>
      <c r="BL967" s="84"/>
      <c r="BM967" s="84"/>
      <c r="BN967" s="84"/>
      <c r="BO967" s="84"/>
      <c r="BP967" s="84"/>
      <c r="BQ967" s="84"/>
      <c r="BR967" s="84"/>
      <c r="BS967" s="942"/>
      <c r="BT967" s="942"/>
      <c r="BU967" s="942"/>
      <c r="BV967" s="84"/>
    </row>
    <row r="968" spans="14:74" ht="14.25">
      <c r="N968" s="84"/>
      <c r="O968" s="84"/>
      <c r="P968" s="84"/>
      <c r="Q968" s="84"/>
      <c r="R968" s="84"/>
      <c r="S968" s="84"/>
      <c r="T968" s="84"/>
      <c r="U968" s="84"/>
      <c r="V968" s="84"/>
      <c r="W968" s="84"/>
      <c r="Y968" s="84"/>
      <c r="Z968" s="84"/>
      <c r="AA968" s="84"/>
      <c r="AB968" s="84"/>
      <c r="AC968" s="84"/>
      <c r="AD968" s="84"/>
      <c r="AE968" s="84"/>
      <c r="AF968" s="84"/>
      <c r="AG968" s="84"/>
      <c r="AH968" s="84"/>
      <c r="AI968" s="84"/>
      <c r="AL968" s="84"/>
      <c r="AM968" s="84"/>
      <c r="AN968" s="84"/>
      <c r="AO968" s="84"/>
      <c r="AP968" s="84"/>
      <c r="AQ968" s="84"/>
      <c r="AR968" s="84"/>
      <c r="AS968" s="84"/>
      <c r="AT968" s="84"/>
      <c r="AU968" s="84"/>
      <c r="AV968" s="84"/>
      <c r="AY968" s="84"/>
      <c r="AZ968" s="84"/>
      <c r="BA968" s="84"/>
      <c r="BB968" s="84"/>
      <c r="BC968" s="84"/>
      <c r="BD968" s="84"/>
      <c r="BE968" s="84"/>
      <c r="BF968" s="942"/>
      <c r="BG968" s="942"/>
      <c r="BH968" s="942"/>
      <c r="BI968" s="84"/>
      <c r="BL968" s="84"/>
      <c r="BM968" s="84"/>
      <c r="BN968" s="84"/>
      <c r="BO968" s="84"/>
      <c r="BP968" s="84"/>
      <c r="BQ968" s="84"/>
      <c r="BR968" s="84"/>
      <c r="BS968" s="942"/>
      <c r="BT968" s="942"/>
      <c r="BU968" s="942"/>
      <c r="BV968" s="84"/>
    </row>
    <row r="969" spans="14:74" ht="14.25">
      <c r="N969" s="84"/>
      <c r="O969" s="84"/>
      <c r="P969" s="84"/>
      <c r="Q969" s="84"/>
      <c r="R969" s="84"/>
      <c r="S969" s="84"/>
      <c r="T969" s="84"/>
      <c r="U969" s="84"/>
      <c r="V969" s="84"/>
      <c r="W969" s="84"/>
      <c r="Y969" s="84"/>
      <c r="Z969" s="84"/>
      <c r="AA969" s="84"/>
      <c r="AB969" s="84"/>
      <c r="AC969" s="84"/>
      <c r="AD969" s="84"/>
      <c r="AE969" s="84"/>
      <c r="AF969" s="84"/>
      <c r="AG969" s="84"/>
      <c r="AH969" s="84"/>
      <c r="AI969" s="84"/>
      <c r="AL969" s="84"/>
      <c r="AM969" s="84"/>
      <c r="AN969" s="84"/>
      <c r="AO969" s="84"/>
      <c r="AP969" s="84"/>
      <c r="AQ969" s="84"/>
      <c r="AR969" s="84"/>
      <c r="AS969" s="84"/>
      <c r="AT969" s="84"/>
      <c r="AU969" s="84"/>
      <c r="AV969" s="84"/>
      <c r="AY969" s="84"/>
      <c r="AZ969" s="84"/>
      <c r="BA969" s="84"/>
      <c r="BB969" s="84"/>
      <c r="BC969" s="84"/>
      <c r="BD969" s="84"/>
      <c r="BE969" s="84"/>
      <c r="BF969" s="942"/>
      <c r="BG969" s="942"/>
      <c r="BH969" s="942"/>
      <c r="BI969" s="84"/>
      <c r="BL969" s="84"/>
      <c r="BM969" s="84"/>
      <c r="BN969" s="84"/>
      <c r="BO969" s="84"/>
      <c r="BP969" s="84"/>
      <c r="BQ969" s="84"/>
      <c r="BR969" s="84"/>
      <c r="BS969" s="942"/>
      <c r="BT969" s="942"/>
      <c r="BU969" s="942"/>
      <c r="BV969" s="84"/>
    </row>
    <row r="970" spans="14:74" ht="14.25">
      <c r="N970" s="84"/>
      <c r="O970" s="84"/>
      <c r="P970" s="84"/>
      <c r="Q970" s="84"/>
      <c r="R970" s="84"/>
      <c r="S970" s="84"/>
      <c r="T970" s="84"/>
      <c r="U970" s="84"/>
      <c r="V970" s="84"/>
      <c r="W970" s="84"/>
      <c r="Y970" s="84"/>
      <c r="Z970" s="84"/>
      <c r="AA970" s="84"/>
      <c r="AB970" s="84"/>
      <c r="AC970" s="84"/>
      <c r="AD970" s="84"/>
      <c r="AE970" s="84"/>
      <c r="AF970" s="84"/>
      <c r="AG970" s="84"/>
      <c r="AH970" s="84"/>
      <c r="AI970" s="84"/>
      <c r="AL970" s="84"/>
      <c r="AM970" s="84"/>
      <c r="AN970" s="84"/>
      <c r="AO970" s="84"/>
      <c r="AP970" s="84"/>
      <c r="AQ970" s="84"/>
      <c r="AR970" s="84"/>
      <c r="AS970" s="84"/>
      <c r="AT970" s="84"/>
      <c r="AU970" s="84"/>
      <c r="AV970" s="84"/>
      <c r="AY970" s="84"/>
      <c r="AZ970" s="84"/>
      <c r="BA970" s="84"/>
      <c r="BB970" s="84"/>
      <c r="BC970" s="84"/>
      <c r="BD970" s="84"/>
      <c r="BE970" s="84"/>
      <c r="BF970" s="942"/>
      <c r="BG970" s="942"/>
      <c r="BH970" s="942"/>
      <c r="BI970" s="84"/>
      <c r="BL970" s="84"/>
      <c r="BM970" s="84"/>
      <c r="BN970" s="84"/>
      <c r="BO970" s="84"/>
      <c r="BP970" s="84"/>
      <c r="BQ970" s="84"/>
      <c r="BR970" s="84"/>
      <c r="BS970" s="942"/>
      <c r="BT970" s="942"/>
      <c r="BU970" s="942"/>
      <c r="BV970" s="84"/>
    </row>
    <row r="971" spans="14:74" ht="14.25">
      <c r="N971" s="84"/>
      <c r="O971" s="84"/>
      <c r="P971" s="84"/>
      <c r="Q971" s="84"/>
      <c r="R971" s="84"/>
      <c r="S971" s="84"/>
      <c r="T971" s="84"/>
      <c r="U971" s="84"/>
      <c r="V971" s="84"/>
      <c r="W971" s="84"/>
      <c r="Y971" s="84"/>
      <c r="Z971" s="84"/>
      <c r="AA971" s="84"/>
      <c r="AB971" s="84"/>
      <c r="AC971" s="84"/>
      <c r="AD971" s="84"/>
      <c r="AE971" s="84"/>
      <c r="AF971" s="84"/>
      <c r="AG971" s="84"/>
      <c r="AH971" s="84"/>
      <c r="AI971" s="84"/>
      <c r="AL971" s="84"/>
      <c r="AM971" s="84"/>
      <c r="AN971" s="84"/>
      <c r="AO971" s="84"/>
      <c r="AP971" s="84"/>
      <c r="AQ971" s="84"/>
      <c r="AR971" s="84"/>
      <c r="AS971" s="84"/>
      <c r="AT971" s="84"/>
      <c r="AU971" s="84"/>
      <c r="AV971" s="84"/>
      <c r="AY971" s="84"/>
      <c r="AZ971" s="84"/>
      <c r="BA971" s="84"/>
      <c r="BB971" s="84"/>
      <c r="BC971" s="84"/>
      <c r="BD971" s="84"/>
      <c r="BE971" s="84"/>
      <c r="BF971" s="942"/>
      <c r="BG971" s="942"/>
      <c r="BH971" s="942"/>
      <c r="BI971" s="84"/>
      <c r="BL971" s="84"/>
      <c r="BM971" s="84"/>
      <c r="BN971" s="84"/>
      <c r="BO971" s="84"/>
      <c r="BP971" s="84"/>
      <c r="BQ971" s="84"/>
      <c r="BR971" s="84"/>
      <c r="BS971" s="942"/>
      <c r="BT971" s="942"/>
      <c r="BU971" s="942"/>
      <c r="BV971" s="84"/>
    </row>
    <row r="972" spans="14:74" ht="14.25">
      <c r="N972" s="84"/>
      <c r="O972" s="84"/>
      <c r="P972" s="84"/>
      <c r="Q972" s="84"/>
      <c r="R972" s="84"/>
      <c r="S972" s="84"/>
      <c r="T972" s="84"/>
      <c r="U972" s="84"/>
      <c r="V972" s="84"/>
      <c r="W972" s="84"/>
      <c r="Y972" s="84"/>
      <c r="Z972" s="84"/>
      <c r="AA972" s="84"/>
      <c r="AB972" s="84"/>
      <c r="AC972" s="84"/>
      <c r="AD972" s="84"/>
      <c r="AE972" s="84"/>
      <c r="AF972" s="84"/>
      <c r="AG972" s="84"/>
      <c r="AH972" s="84"/>
      <c r="AI972" s="84"/>
      <c r="AL972" s="84"/>
      <c r="AM972" s="84"/>
      <c r="AN972" s="84"/>
      <c r="AO972" s="84"/>
      <c r="AP972" s="84"/>
      <c r="AQ972" s="84"/>
      <c r="AR972" s="84"/>
      <c r="AS972" s="84"/>
      <c r="AT972" s="84"/>
      <c r="AU972" s="84"/>
      <c r="AV972" s="84"/>
      <c r="AY972" s="84"/>
      <c r="AZ972" s="84"/>
      <c r="BA972" s="84"/>
      <c r="BB972" s="84"/>
      <c r="BC972" s="84"/>
      <c r="BD972" s="84"/>
      <c r="BE972" s="84"/>
      <c r="BF972" s="942"/>
      <c r="BG972" s="942"/>
      <c r="BH972" s="942"/>
      <c r="BI972" s="84"/>
      <c r="BL972" s="84"/>
      <c r="BM972" s="84"/>
      <c r="BN972" s="84"/>
      <c r="BO972" s="84"/>
      <c r="BP972" s="84"/>
      <c r="BQ972" s="84"/>
      <c r="BR972" s="84"/>
      <c r="BS972" s="942"/>
      <c r="BT972" s="942"/>
      <c r="BU972" s="942"/>
      <c r="BV972" s="84"/>
    </row>
    <row r="973" spans="14:74" ht="14.25">
      <c r="N973" s="84"/>
      <c r="O973" s="84"/>
      <c r="P973" s="84"/>
      <c r="Q973" s="84"/>
      <c r="R973" s="84"/>
      <c r="S973" s="84"/>
      <c r="T973" s="84"/>
      <c r="U973" s="84"/>
      <c r="V973" s="84"/>
      <c r="W973" s="84"/>
      <c r="Y973" s="84"/>
      <c r="Z973" s="84"/>
      <c r="AA973" s="84"/>
      <c r="AB973" s="84"/>
      <c r="AC973" s="84"/>
      <c r="AD973" s="84"/>
      <c r="AE973" s="84"/>
      <c r="AF973" s="84"/>
      <c r="AG973" s="84"/>
      <c r="AH973" s="84"/>
      <c r="AI973" s="84"/>
      <c r="AL973" s="84"/>
      <c r="AM973" s="84"/>
      <c r="AN973" s="84"/>
      <c r="AO973" s="84"/>
      <c r="AP973" s="84"/>
      <c r="AQ973" s="84"/>
      <c r="AR973" s="84"/>
      <c r="AS973" s="84"/>
      <c r="AT973" s="84"/>
      <c r="AU973" s="84"/>
      <c r="AV973" s="84"/>
      <c r="AY973" s="84"/>
      <c r="AZ973" s="84"/>
      <c r="BA973" s="84"/>
      <c r="BB973" s="84"/>
      <c r="BC973" s="84"/>
      <c r="BD973" s="84"/>
      <c r="BE973" s="84"/>
      <c r="BF973" s="942"/>
      <c r="BG973" s="942"/>
      <c r="BH973" s="942"/>
      <c r="BI973" s="84"/>
      <c r="BL973" s="84"/>
      <c r="BM973" s="84"/>
      <c r="BN973" s="84"/>
      <c r="BO973" s="84"/>
      <c r="BP973" s="84"/>
      <c r="BQ973" s="84"/>
      <c r="BR973" s="84"/>
      <c r="BS973" s="942"/>
      <c r="BT973" s="942"/>
      <c r="BU973" s="942"/>
      <c r="BV973" s="84"/>
    </row>
    <row r="974" spans="14:74" ht="14.25">
      <c r="N974" s="84"/>
      <c r="O974" s="84"/>
      <c r="P974" s="84"/>
      <c r="Q974" s="84"/>
      <c r="R974" s="84"/>
      <c r="S974" s="84"/>
      <c r="T974" s="84"/>
      <c r="U974" s="84"/>
      <c r="V974" s="84"/>
      <c r="W974" s="84"/>
      <c r="Y974" s="84"/>
      <c r="Z974" s="84"/>
      <c r="AA974" s="84"/>
      <c r="AB974" s="84"/>
      <c r="AC974" s="84"/>
      <c r="AD974" s="84"/>
      <c r="AE974" s="84"/>
      <c r="AF974" s="84"/>
      <c r="AG974" s="84"/>
      <c r="AH974" s="84"/>
      <c r="AI974" s="84"/>
      <c r="AL974" s="84"/>
      <c r="AM974" s="84"/>
      <c r="AN974" s="84"/>
      <c r="AO974" s="84"/>
      <c r="AP974" s="84"/>
      <c r="AQ974" s="84"/>
      <c r="AR974" s="84"/>
      <c r="AS974" s="84"/>
      <c r="AT974" s="84"/>
      <c r="AU974" s="84"/>
      <c r="AV974" s="84"/>
      <c r="AY974" s="84"/>
      <c r="AZ974" s="84"/>
      <c r="BA974" s="84"/>
      <c r="BB974" s="84"/>
      <c r="BC974" s="84"/>
      <c r="BD974" s="84"/>
      <c r="BE974" s="84"/>
      <c r="BF974" s="942"/>
      <c r="BG974" s="942"/>
      <c r="BH974" s="942"/>
      <c r="BI974" s="84"/>
      <c r="BL974" s="84"/>
      <c r="BM974" s="84"/>
      <c r="BN974" s="84"/>
      <c r="BO974" s="84"/>
      <c r="BP974" s="84"/>
      <c r="BQ974" s="84"/>
      <c r="BR974" s="84"/>
      <c r="BS974" s="942"/>
      <c r="BT974" s="942"/>
      <c r="BU974" s="942"/>
      <c r="BV974" s="84"/>
    </row>
    <row r="975" spans="14:74" ht="14.25">
      <c r="N975" s="84"/>
      <c r="O975" s="84"/>
      <c r="P975" s="84"/>
      <c r="Q975" s="84"/>
      <c r="R975" s="84"/>
      <c r="S975" s="84"/>
      <c r="T975" s="84"/>
      <c r="U975" s="84"/>
      <c r="V975" s="84"/>
      <c r="W975" s="84"/>
      <c r="Y975" s="84"/>
      <c r="Z975" s="84"/>
      <c r="AA975" s="84"/>
      <c r="AB975" s="84"/>
      <c r="AC975" s="84"/>
      <c r="AD975" s="84"/>
      <c r="AE975" s="84"/>
      <c r="AF975" s="84"/>
      <c r="AG975" s="84"/>
      <c r="AH975" s="84"/>
      <c r="AI975" s="84"/>
      <c r="AL975" s="84"/>
      <c r="AM975" s="84"/>
      <c r="AN975" s="84"/>
      <c r="AO975" s="84"/>
      <c r="AP975" s="84"/>
      <c r="AQ975" s="84"/>
      <c r="AR975" s="84"/>
      <c r="AS975" s="84"/>
      <c r="AT975" s="84"/>
      <c r="AU975" s="84"/>
      <c r="AV975" s="84"/>
      <c r="AY975" s="84"/>
      <c r="AZ975" s="84"/>
      <c r="BA975" s="84"/>
      <c r="BB975" s="84"/>
      <c r="BC975" s="84"/>
      <c r="BD975" s="84"/>
      <c r="BE975" s="84"/>
      <c r="BF975" s="942"/>
      <c r="BG975" s="942"/>
      <c r="BH975" s="942"/>
      <c r="BI975" s="84"/>
      <c r="BL975" s="84"/>
      <c r="BM975" s="84"/>
      <c r="BN975" s="84"/>
      <c r="BO975" s="84"/>
      <c r="BP975" s="84"/>
      <c r="BQ975" s="84"/>
      <c r="BR975" s="84"/>
      <c r="BS975" s="942"/>
      <c r="BT975" s="942"/>
      <c r="BU975" s="942"/>
      <c r="BV975" s="84"/>
    </row>
    <row r="976" spans="14:74" ht="14.25">
      <c r="N976" s="84"/>
      <c r="O976" s="84"/>
      <c r="P976" s="84"/>
      <c r="Q976" s="84"/>
      <c r="R976" s="84"/>
      <c r="S976" s="84"/>
      <c r="T976" s="84"/>
      <c r="U976" s="84"/>
      <c r="V976" s="84"/>
      <c r="W976" s="84"/>
      <c r="Y976" s="84"/>
      <c r="Z976" s="84"/>
      <c r="AA976" s="84"/>
      <c r="AB976" s="84"/>
      <c r="AC976" s="84"/>
      <c r="AD976" s="84"/>
      <c r="AE976" s="84"/>
      <c r="AF976" s="84"/>
      <c r="AG976" s="84"/>
      <c r="AH976" s="84"/>
      <c r="AI976" s="84"/>
      <c r="AL976" s="84"/>
      <c r="AM976" s="84"/>
      <c r="AN976" s="84"/>
      <c r="AO976" s="84"/>
      <c r="AP976" s="84"/>
      <c r="AQ976" s="84"/>
      <c r="AR976" s="84"/>
      <c r="AS976" s="84"/>
      <c r="AT976" s="84"/>
      <c r="AU976" s="84"/>
      <c r="AV976" s="84"/>
      <c r="AY976" s="84"/>
      <c r="AZ976" s="84"/>
      <c r="BA976" s="84"/>
      <c r="BB976" s="84"/>
      <c r="BC976" s="84"/>
      <c r="BD976" s="84"/>
      <c r="BE976" s="84"/>
      <c r="BF976" s="942"/>
      <c r="BG976" s="942"/>
      <c r="BH976" s="942"/>
      <c r="BI976" s="84"/>
      <c r="BL976" s="84"/>
      <c r="BM976" s="84"/>
      <c r="BN976" s="84"/>
      <c r="BO976" s="84"/>
      <c r="BP976" s="84"/>
      <c r="BQ976" s="84"/>
      <c r="BR976" s="84"/>
      <c r="BS976" s="942"/>
      <c r="BT976" s="942"/>
      <c r="BU976" s="942"/>
      <c r="BV976" s="84"/>
    </row>
    <row r="977" spans="14:74" ht="14.25">
      <c r="N977" s="84"/>
      <c r="O977" s="84"/>
      <c r="P977" s="84"/>
      <c r="Q977" s="84"/>
      <c r="R977" s="84"/>
      <c r="S977" s="84"/>
      <c r="T977" s="84"/>
      <c r="U977" s="84"/>
      <c r="V977" s="84"/>
      <c r="W977" s="84"/>
      <c r="Y977" s="84"/>
      <c r="Z977" s="84"/>
      <c r="AA977" s="84"/>
      <c r="AB977" s="84"/>
      <c r="AC977" s="84"/>
      <c r="AD977" s="84"/>
      <c r="AE977" s="84"/>
      <c r="AF977" s="84"/>
      <c r="AG977" s="84"/>
      <c r="AH977" s="84"/>
      <c r="AI977" s="84"/>
      <c r="AL977" s="84"/>
      <c r="AM977" s="84"/>
      <c r="AN977" s="84"/>
      <c r="AO977" s="84"/>
      <c r="AP977" s="84"/>
      <c r="AQ977" s="84"/>
      <c r="AR977" s="84"/>
      <c r="AS977" s="84"/>
      <c r="AT977" s="84"/>
      <c r="AU977" s="84"/>
      <c r="AV977" s="84"/>
      <c r="AY977" s="84"/>
      <c r="AZ977" s="84"/>
      <c r="BA977" s="84"/>
      <c r="BB977" s="84"/>
      <c r="BC977" s="84"/>
      <c r="BD977" s="84"/>
      <c r="BE977" s="84"/>
      <c r="BF977" s="942"/>
      <c r="BG977" s="942"/>
      <c r="BH977" s="942"/>
      <c r="BI977" s="84"/>
      <c r="BL977" s="84"/>
      <c r="BM977" s="84"/>
      <c r="BN977" s="84"/>
      <c r="BO977" s="84"/>
      <c r="BP977" s="84"/>
      <c r="BQ977" s="84"/>
      <c r="BR977" s="84"/>
      <c r="BS977" s="942"/>
      <c r="BT977" s="942"/>
      <c r="BU977" s="942"/>
      <c r="BV977" s="84"/>
    </row>
    <row r="978" spans="14:74" ht="14.25">
      <c r="N978" s="84"/>
      <c r="O978" s="84"/>
      <c r="P978" s="84"/>
      <c r="Q978" s="84"/>
      <c r="R978" s="84"/>
      <c r="S978" s="84"/>
      <c r="T978" s="84"/>
      <c r="U978" s="84"/>
      <c r="V978" s="84"/>
      <c r="W978" s="84"/>
      <c r="Y978" s="84"/>
      <c r="Z978" s="84"/>
      <c r="AA978" s="84"/>
      <c r="AB978" s="84"/>
      <c r="AC978" s="84"/>
      <c r="AD978" s="84"/>
      <c r="AE978" s="84"/>
      <c r="AF978" s="84"/>
      <c r="AG978" s="84"/>
      <c r="AH978" s="84"/>
      <c r="AI978" s="84"/>
      <c r="AL978" s="84"/>
      <c r="AM978" s="84"/>
      <c r="AN978" s="84"/>
      <c r="AO978" s="84"/>
      <c r="AP978" s="84"/>
      <c r="AQ978" s="84"/>
      <c r="AR978" s="84"/>
      <c r="AS978" s="84"/>
      <c r="AT978" s="84"/>
      <c r="AU978" s="84"/>
      <c r="AV978" s="84"/>
      <c r="AY978" s="84"/>
      <c r="AZ978" s="84"/>
      <c r="BA978" s="84"/>
      <c r="BB978" s="84"/>
      <c r="BC978" s="84"/>
      <c r="BD978" s="84"/>
      <c r="BE978" s="84"/>
      <c r="BF978" s="942"/>
      <c r="BG978" s="942"/>
      <c r="BH978" s="942"/>
      <c r="BI978" s="84"/>
      <c r="BL978" s="84"/>
      <c r="BM978" s="84"/>
      <c r="BN978" s="84"/>
      <c r="BO978" s="84"/>
      <c r="BP978" s="84"/>
      <c r="BQ978" s="84"/>
      <c r="BR978" s="84"/>
      <c r="BS978" s="942"/>
      <c r="BT978" s="942"/>
      <c r="BU978" s="942"/>
      <c r="BV978" s="84"/>
    </row>
    <row r="979" spans="14:74" ht="14.25">
      <c r="N979" s="84"/>
      <c r="O979" s="84"/>
      <c r="P979" s="84"/>
      <c r="Q979" s="84"/>
      <c r="R979" s="84"/>
      <c r="S979" s="84"/>
      <c r="T979" s="84"/>
      <c r="U979" s="84"/>
      <c r="V979" s="84"/>
      <c r="W979" s="84"/>
      <c r="Y979" s="84"/>
      <c r="Z979" s="84"/>
      <c r="AA979" s="84"/>
      <c r="AB979" s="84"/>
      <c r="AC979" s="84"/>
      <c r="AD979" s="84"/>
      <c r="AE979" s="84"/>
      <c r="AF979" s="84"/>
      <c r="AG979" s="84"/>
      <c r="AH979" s="84"/>
      <c r="AI979" s="84"/>
      <c r="AL979" s="84"/>
      <c r="AM979" s="84"/>
      <c r="AN979" s="84"/>
      <c r="AO979" s="84"/>
      <c r="AP979" s="84"/>
      <c r="AQ979" s="84"/>
      <c r="AR979" s="84"/>
      <c r="AS979" s="84"/>
      <c r="AT979" s="84"/>
      <c r="AU979" s="84"/>
      <c r="AV979" s="84"/>
      <c r="AY979" s="84"/>
      <c r="AZ979" s="84"/>
      <c r="BA979" s="84"/>
      <c r="BB979" s="84"/>
      <c r="BC979" s="84"/>
      <c r="BD979" s="84"/>
      <c r="BE979" s="84"/>
      <c r="BF979" s="942"/>
      <c r="BG979" s="942"/>
      <c r="BH979" s="942"/>
      <c r="BI979" s="84"/>
      <c r="BL979" s="84"/>
      <c r="BM979" s="84"/>
      <c r="BN979" s="84"/>
      <c r="BO979" s="84"/>
      <c r="BP979" s="84"/>
      <c r="BQ979" s="84"/>
      <c r="BR979" s="84"/>
      <c r="BS979" s="942"/>
      <c r="BT979" s="942"/>
      <c r="BU979" s="942"/>
      <c r="BV979" s="84"/>
    </row>
    <row r="980" spans="14:74" ht="14.25">
      <c r="N980" s="84"/>
      <c r="O980" s="84"/>
      <c r="P980" s="84"/>
      <c r="Q980" s="84"/>
      <c r="R980" s="84"/>
      <c r="S980" s="84"/>
      <c r="T980" s="84"/>
      <c r="U980" s="84"/>
      <c r="V980" s="84"/>
      <c r="W980" s="84"/>
      <c r="Y980" s="84"/>
      <c r="Z980" s="84"/>
      <c r="AA980" s="84"/>
      <c r="AB980" s="84"/>
      <c r="AC980" s="84"/>
      <c r="AD980" s="84"/>
      <c r="AE980" s="84"/>
      <c r="AF980" s="84"/>
      <c r="AG980" s="84"/>
      <c r="AH980" s="84"/>
      <c r="AI980" s="84"/>
      <c r="AL980" s="84"/>
      <c r="AM980" s="84"/>
      <c r="AN980" s="84"/>
      <c r="AO980" s="84"/>
      <c r="AP980" s="84"/>
      <c r="AQ980" s="84"/>
      <c r="AR980" s="84"/>
      <c r="AS980" s="84"/>
      <c r="AT980" s="84"/>
      <c r="AU980" s="84"/>
      <c r="AV980" s="84"/>
      <c r="AY980" s="84"/>
      <c r="AZ980" s="84"/>
      <c r="BA980" s="84"/>
      <c r="BB980" s="84"/>
      <c r="BC980" s="84"/>
      <c r="BD980" s="84"/>
      <c r="BE980" s="84"/>
      <c r="BF980" s="942"/>
      <c r="BG980" s="942"/>
      <c r="BH980" s="942"/>
      <c r="BI980" s="84"/>
      <c r="BL980" s="84"/>
      <c r="BM980" s="84"/>
      <c r="BN980" s="84"/>
      <c r="BO980" s="84"/>
      <c r="BP980" s="84"/>
      <c r="BQ980" s="84"/>
      <c r="BR980" s="84"/>
      <c r="BS980" s="942"/>
      <c r="BT980" s="942"/>
      <c r="BU980" s="942"/>
      <c r="BV980" s="84"/>
    </row>
    <row r="981" spans="14:74" ht="14.25">
      <c r="N981" s="84"/>
      <c r="O981" s="84"/>
      <c r="P981" s="84"/>
      <c r="Q981" s="84"/>
      <c r="R981" s="84"/>
      <c r="S981" s="84"/>
      <c r="T981" s="84"/>
      <c r="U981" s="84"/>
      <c r="V981" s="84"/>
      <c r="W981" s="84"/>
      <c r="Y981" s="84"/>
      <c r="Z981" s="84"/>
      <c r="AA981" s="84"/>
      <c r="AB981" s="84"/>
      <c r="AC981" s="84"/>
      <c r="AD981" s="84"/>
      <c r="AE981" s="84"/>
      <c r="AF981" s="84"/>
      <c r="AG981" s="84"/>
      <c r="AH981" s="84"/>
      <c r="AI981" s="84"/>
      <c r="AL981" s="84"/>
      <c r="AM981" s="84"/>
      <c r="AN981" s="84"/>
      <c r="AO981" s="84"/>
      <c r="AP981" s="84"/>
      <c r="AQ981" s="84"/>
      <c r="AR981" s="84"/>
      <c r="AS981" s="84"/>
      <c r="AT981" s="84"/>
      <c r="AU981" s="84"/>
      <c r="AV981" s="84"/>
      <c r="AY981" s="84"/>
      <c r="AZ981" s="84"/>
      <c r="BA981" s="84"/>
      <c r="BB981" s="84"/>
      <c r="BC981" s="84"/>
      <c r="BD981" s="84"/>
      <c r="BE981" s="84"/>
      <c r="BF981" s="942"/>
      <c r="BG981" s="942"/>
      <c r="BH981" s="942"/>
      <c r="BI981" s="84"/>
      <c r="BL981" s="84"/>
      <c r="BM981" s="84"/>
      <c r="BN981" s="84"/>
      <c r="BO981" s="84"/>
      <c r="BP981" s="84"/>
      <c r="BQ981" s="84"/>
      <c r="BR981" s="84"/>
      <c r="BS981" s="942"/>
      <c r="BT981" s="942"/>
      <c r="BU981" s="942"/>
      <c r="BV981" s="84"/>
    </row>
    <row r="982" spans="14:74" ht="14.25">
      <c r="N982" s="84"/>
      <c r="O982" s="84"/>
      <c r="P982" s="84"/>
      <c r="Q982" s="84"/>
      <c r="R982" s="84"/>
      <c r="S982" s="84"/>
      <c r="T982" s="84"/>
      <c r="U982" s="84"/>
      <c r="V982" s="84"/>
      <c r="W982" s="84"/>
      <c r="Y982" s="84"/>
      <c r="Z982" s="84"/>
      <c r="AA982" s="84"/>
      <c r="AB982" s="84"/>
      <c r="AC982" s="84"/>
      <c r="AD982" s="84"/>
      <c r="AE982" s="84"/>
      <c r="AF982" s="84"/>
      <c r="AG982" s="84"/>
      <c r="AH982" s="84"/>
      <c r="AI982" s="84"/>
      <c r="AL982" s="84"/>
      <c r="AM982" s="84"/>
      <c r="AN982" s="84"/>
      <c r="AO982" s="84"/>
      <c r="AP982" s="84"/>
      <c r="AQ982" s="84"/>
      <c r="AR982" s="84"/>
      <c r="AS982" s="84"/>
      <c r="AT982" s="84"/>
      <c r="AU982" s="84"/>
      <c r="AV982" s="84"/>
      <c r="AY982" s="84"/>
      <c r="AZ982" s="84"/>
      <c r="BA982" s="84"/>
      <c r="BB982" s="84"/>
      <c r="BC982" s="84"/>
      <c r="BD982" s="84"/>
      <c r="BE982" s="84"/>
      <c r="BF982" s="942"/>
      <c r="BG982" s="942"/>
      <c r="BH982" s="942"/>
      <c r="BI982" s="84"/>
      <c r="BL982" s="84"/>
      <c r="BM982" s="84"/>
      <c r="BN982" s="84"/>
      <c r="BO982" s="84"/>
      <c r="BP982" s="84"/>
      <c r="BQ982" s="84"/>
      <c r="BR982" s="84"/>
      <c r="BS982" s="942"/>
      <c r="BT982" s="942"/>
      <c r="BU982" s="942"/>
      <c r="BV982" s="84"/>
    </row>
    <row r="983" spans="14:74" ht="14.25">
      <c r="N983" s="84"/>
      <c r="O983" s="84"/>
      <c r="P983" s="84"/>
      <c r="Q983" s="84"/>
      <c r="R983" s="84"/>
      <c r="S983" s="84"/>
      <c r="T983" s="84"/>
      <c r="U983" s="84"/>
      <c r="V983" s="84"/>
      <c r="W983" s="84"/>
      <c r="Y983" s="84"/>
      <c r="Z983" s="84"/>
      <c r="AA983" s="84"/>
      <c r="AB983" s="84"/>
      <c r="AC983" s="84"/>
      <c r="AD983" s="84"/>
      <c r="AE983" s="84"/>
      <c r="AF983" s="84"/>
      <c r="AG983" s="84"/>
      <c r="AH983" s="84"/>
      <c r="AI983" s="84"/>
      <c r="AL983" s="84"/>
      <c r="AM983" s="84"/>
      <c r="AN983" s="84"/>
      <c r="AO983" s="84"/>
      <c r="AP983" s="84"/>
      <c r="AQ983" s="84"/>
      <c r="AR983" s="84"/>
      <c r="AS983" s="84"/>
      <c r="AT983" s="84"/>
      <c r="AU983" s="84"/>
      <c r="AV983" s="84"/>
      <c r="AY983" s="84"/>
      <c r="AZ983" s="84"/>
      <c r="BA983" s="84"/>
      <c r="BB983" s="84"/>
      <c r="BC983" s="84"/>
      <c r="BD983" s="84"/>
      <c r="BE983" s="84"/>
      <c r="BF983" s="942"/>
      <c r="BG983" s="942"/>
      <c r="BH983" s="942"/>
      <c r="BI983" s="84"/>
      <c r="BL983" s="84"/>
      <c r="BM983" s="84"/>
      <c r="BN983" s="84"/>
      <c r="BO983" s="84"/>
      <c r="BP983" s="84"/>
      <c r="BQ983" s="84"/>
      <c r="BR983" s="84"/>
      <c r="BS983" s="942"/>
      <c r="BT983" s="942"/>
      <c r="BU983" s="942"/>
      <c r="BV983" s="84"/>
    </row>
    <row r="984" spans="14:74" ht="14.25">
      <c r="N984" s="84"/>
      <c r="O984" s="84"/>
      <c r="P984" s="84"/>
      <c r="Q984" s="84"/>
      <c r="R984" s="84"/>
      <c r="S984" s="84"/>
      <c r="T984" s="84"/>
      <c r="U984" s="84"/>
      <c r="V984" s="84"/>
      <c r="W984" s="84"/>
      <c r="Y984" s="84"/>
      <c r="Z984" s="84"/>
      <c r="AA984" s="84"/>
      <c r="AB984" s="84"/>
      <c r="AC984" s="84"/>
      <c r="AD984" s="84"/>
      <c r="AE984" s="84"/>
      <c r="AF984" s="84"/>
      <c r="AG984" s="84"/>
      <c r="AH984" s="84"/>
      <c r="AI984" s="84"/>
      <c r="AL984" s="84"/>
      <c r="AM984" s="84"/>
      <c r="AN984" s="84"/>
      <c r="AO984" s="84"/>
      <c r="AP984" s="84"/>
      <c r="AQ984" s="84"/>
      <c r="AR984" s="84"/>
      <c r="AS984" s="84"/>
      <c r="AT984" s="84"/>
      <c r="AU984" s="84"/>
      <c r="AV984" s="84"/>
      <c r="AY984" s="84"/>
      <c r="AZ984" s="84"/>
      <c r="BA984" s="84"/>
      <c r="BB984" s="84"/>
      <c r="BC984" s="84"/>
      <c r="BD984" s="84"/>
      <c r="BE984" s="84"/>
      <c r="BF984" s="942"/>
      <c r="BG984" s="942"/>
      <c r="BH984" s="942"/>
      <c r="BI984" s="84"/>
      <c r="BL984" s="84"/>
      <c r="BM984" s="84"/>
      <c r="BN984" s="84"/>
      <c r="BO984" s="84"/>
      <c r="BP984" s="84"/>
      <c r="BQ984" s="84"/>
      <c r="BR984" s="84"/>
      <c r="BS984" s="942"/>
      <c r="BT984" s="942"/>
      <c r="BU984" s="942"/>
      <c r="BV984" s="84"/>
    </row>
    <row r="985" spans="14:74" ht="14.25">
      <c r="N985" s="84"/>
      <c r="O985" s="84"/>
      <c r="P985" s="84"/>
      <c r="Q985" s="84"/>
      <c r="R985" s="84"/>
      <c r="S985" s="84"/>
      <c r="T985" s="84"/>
      <c r="U985" s="84"/>
      <c r="V985" s="84"/>
      <c r="W985" s="84"/>
      <c r="Y985" s="84"/>
      <c r="Z985" s="84"/>
      <c r="AA985" s="84"/>
      <c r="AB985" s="84"/>
      <c r="AC985" s="84"/>
      <c r="AD985" s="84"/>
      <c r="AE985" s="84"/>
      <c r="AF985" s="84"/>
      <c r="AG985" s="84"/>
      <c r="AH985" s="84"/>
      <c r="AI985" s="84"/>
      <c r="AL985" s="84"/>
      <c r="AM985" s="84"/>
      <c r="AN985" s="84"/>
      <c r="AO985" s="84"/>
      <c r="AP985" s="84"/>
      <c r="AQ985" s="84"/>
      <c r="AR985" s="84"/>
      <c r="AS985" s="84"/>
      <c r="AT985" s="84"/>
      <c r="AU985" s="84"/>
      <c r="AV985" s="84"/>
      <c r="AY985" s="84"/>
      <c r="AZ985" s="84"/>
      <c r="BA985" s="84"/>
      <c r="BB985" s="84"/>
      <c r="BC985" s="84"/>
      <c r="BD985" s="84"/>
      <c r="BE985" s="84"/>
      <c r="BF985" s="942"/>
      <c r="BG985" s="942"/>
      <c r="BH985" s="942"/>
      <c r="BI985" s="84"/>
      <c r="BL985" s="84"/>
      <c r="BM985" s="84"/>
      <c r="BN985" s="84"/>
      <c r="BO985" s="84"/>
      <c r="BP985" s="84"/>
      <c r="BQ985" s="84"/>
      <c r="BR985" s="84"/>
      <c r="BS985" s="942"/>
      <c r="BT985" s="942"/>
      <c r="BU985" s="942"/>
      <c r="BV985" s="84"/>
    </row>
    <row r="986" spans="14:74" ht="14.25">
      <c r="N986" s="84"/>
      <c r="O986" s="84"/>
      <c r="P986" s="84"/>
      <c r="Q986" s="84"/>
      <c r="R986" s="84"/>
      <c r="S986" s="84"/>
      <c r="T986" s="84"/>
      <c r="U986" s="84"/>
      <c r="V986" s="84"/>
      <c r="W986" s="84"/>
      <c r="Y986" s="84"/>
      <c r="Z986" s="84"/>
      <c r="AA986" s="84"/>
      <c r="AB986" s="84"/>
      <c r="AC986" s="84"/>
      <c r="AD986" s="84"/>
      <c r="AE986" s="84"/>
      <c r="AF986" s="84"/>
      <c r="AG986" s="84"/>
      <c r="AH986" s="84"/>
      <c r="AI986" s="84"/>
      <c r="AL986" s="84"/>
      <c r="AM986" s="84"/>
      <c r="AN986" s="84"/>
      <c r="AO986" s="84"/>
      <c r="AP986" s="84"/>
      <c r="AQ986" s="84"/>
      <c r="AR986" s="84"/>
      <c r="AS986" s="84"/>
      <c r="AT986" s="84"/>
      <c r="AU986" s="84"/>
      <c r="AV986" s="84"/>
      <c r="AY986" s="84"/>
      <c r="AZ986" s="84"/>
      <c r="BA986" s="84"/>
      <c r="BB986" s="84"/>
      <c r="BC986" s="84"/>
      <c r="BD986" s="84"/>
      <c r="BE986" s="84"/>
      <c r="BF986" s="942"/>
      <c r="BG986" s="942"/>
      <c r="BH986" s="942"/>
      <c r="BI986" s="84"/>
      <c r="BL986" s="84"/>
      <c r="BM986" s="84"/>
      <c r="BN986" s="84"/>
      <c r="BO986" s="84"/>
      <c r="BP986" s="84"/>
      <c r="BQ986" s="84"/>
      <c r="BR986" s="84"/>
      <c r="BS986" s="942"/>
      <c r="BT986" s="942"/>
      <c r="BU986" s="942"/>
      <c r="BV986" s="84"/>
    </row>
    <row r="987" spans="14:74" ht="14.25">
      <c r="N987" s="84"/>
      <c r="O987" s="84"/>
      <c r="P987" s="84"/>
      <c r="Q987" s="84"/>
      <c r="R987" s="84"/>
      <c r="S987" s="84"/>
      <c r="T987" s="84"/>
      <c r="U987" s="84"/>
      <c r="V987" s="84"/>
      <c r="W987" s="84"/>
      <c r="Y987" s="84"/>
      <c r="Z987" s="84"/>
      <c r="AA987" s="84"/>
      <c r="AB987" s="84"/>
      <c r="AC987" s="84"/>
      <c r="AD987" s="84"/>
      <c r="AE987" s="84"/>
      <c r="AF987" s="84"/>
      <c r="AG987" s="84"/>
      <c r="AH987" s="84"/>
      <c r="AI987" s="84"/>
      <c r="AL987" s="84"/>
      <c r="AM987" s="84"/>
      <c r="AN987" s="84"/>
      <c r="AO987" s="84"/>
      <c r="AP987" s="84"/>
      <c r="AQ987" s="84"/>
      <c r="AR987" s="84"/>
      <c r="AS987" s="84"/>
      <c r="AT987" s="84"/>
      <c r="AU987" s="84"/>
      <c r="AV987" s="84"/>
      <c r="AY987" s="84"/>
      <c r="AZ987" s="84"/>
      <c r="BA987" s="84"/>
      <c r="BB987" s="84"/>
      <c r="BC987" s="84"/>
      <c r="BD987" s="84"/>
      <c r="BE987" s="84"/>
      <c r="BF987" s="942"/>
      <c r="BG987" s="942"/>
      <c r="BH987" s="942"/>
      <c r="BI987" s="84"/>
      <c r="BL987" s="84"/>
      <c r="BM987" s="84"/>
      <c r="BN987" s="84"/>
      <c r="BO987" s="84"/>
      <c r="BP987" s="84"/>
      <c r="BQ987" s="84"/>
      <c r="BR987" s="84"/>
      <c r="BS987" s="942"/>
      <c r="BT987" s="942"/>
      <c r="BU987" s="942"/>
      <c r="BV987" s="84"/>
    </row>
    <row r="988" spans="14:74" ht="14.25">
      <c r="N988" s="84"/>
      <c r="O988" s="84"/>
      <c r="P988" s="84"/>
      <c r="Q988" s="84"/>
      <c r="R988" s="84"/>
      <c r="S988" s="84"/>
      <c r="T988" s="84"/>
      <c r="U988" s="84"/>
      <c r="V988" s="84"/>
      <c r="W988" s="84"/>
      <c r="Y988" s="84"/>
      <c r="Z988" s="84"/>
      <c r="AA988" s="84"/>
      <c r="AB988" s="84"/>
      <c r="AC988" s="84"/>
      <c r="AD988" s="84"/>
      <c r="AE988" s="84"/>
      <c r="AF988" s="84"/>
      <c r="AG988" s="84"/>
      <c r="AH988" s="84"/>
      <c r="AI988" s="84"/>
      <c r="AL988" s="84"/>
      <c r="AM988" s="84"/>
      <c r="AN988" s="84"/>
      <c r="AO988" s="84"/>
      <c r="AP988" s="84"/>
      <c r="AQ988" s="84"/>
      <c r="AR988" s="84"/>
      <c r="AS988" s="84"/>
      <c r="AT988" s="84"/>
      <c r="AU988" s="84"/>
      <c r="AV988" s="84"/>
      <c r="AY988" s="84"/>
      <c r="AZ988" s="84"/>
      <c r="BA988" s="84"/>
      <c r="BB988" s="84"/>
      <c r="BC988" s="84"/>
      <c r="BD988" s="84"/>
      <c r="BE988" s="84"/>
      <c r="BF988" s="942"/>
      <c r="BG988" s="942"/>
      <c r="BH988" s="942"/>
      <c r="BI988" s="84"/>
      <c r="BL988" s="84"/>
      <c r="BM988" s="84"/>
      <c r="BN988" s="84"/>
      <c r="BO988" s="84"/>
      <c r="BP988" s="84"/>
      <c r="BQ988" s="84"/>
      <c r="BR988" s="84"/>
      <c r="BS988" s="942"/>
      <c r="BT988" s="942"/>
      <c r="BU988" s="942"/>
      <c r="BV988" s="84"/>
    </row>
    <row r="989" spans="14:74" ht="14.25">
      <c r="N989" s="84"/>
      <c r="O989" s="84"/>
      <c r="P989" s="84"/>
      <c r="Q989" s="84"/>
      <c r="R989" s="84"/>
      <c r="S989" s="84"/>
      <c r="T989" s="84"/>
      <c r="U989" s="84"/>
      <c r="V989" s="84"/>
      <c r="W989" s="84"/>
      <c r="Y989" s="84"/>
      <c r="Z989" s="84"/>
      <c r="AA989" s="84"/>
      <c r="AB989" s="84"/>
      <c r="AC989" s="84"/>
      <c r="AD989" s="84"/>
      <c r="AE989" s="84"/>
      <c r="AF989" s="84"/>
      <c r="AG989" s="84"/>
      <c r="AH989" s="84"/>
      <c r="AI989" s="84"/>
      <c r="AL989" s="84"/>
      <c r="AM989" s="84"/>
      <c r="AN989" s="84"/>
      <c r="AO989" s="84"/>
      <c r="AP989" s="84"/>
      <c r="AQ989" s="84"/>
      <c r="AR989" s="84"/>
      <c r="AS989" s="84"/>
      <c r="AT989" s="84"/>
      <c r="AU989" s="84"/>
      <c r="AV989" s="84"/>
      <c r="AY989" s="84"/>
      <c r="AZ989" s="84"/>
      <c r="BA989" s="84"/>
      <c r="BB989" s="84"/>
      <c r="BC989" s="84"/>
      <c r="BD989" s="84"/>
      <c r="BE989" s="84"/>
      <c r="BF989" s="942"/>
      <c r="BG989" s="942"/>
      <c r="BH989" s="942"/>
      <c r="BI989" s="84"/>
      <c r="BL989" s="84"/>
      <c r="BM989" s="84"/>
      <c r="BN989" s="84"/>
      <c r="BO989" s="84"/>
      <c r="BP989" s="84"/>
      <c r="BQ989" s="84"/>
      <c r="BR989" s="84"/>
      <c r="BS989" s="942"/>
      <c r="BT989" s="942"/>
      <c r="BU989" s="942"/>
      <c r="BV989" s="84"/>
    </row>
    <row r="990" spans="14:74" ht="14.25">
      <c r="N990" s="84"/>
      <c r="O990" s="84"/>
      <c r="P990" s="84"/>
      <c r="Q990" s="84"/>
      <c r="R990" s="84"/>
      <c r="S990" s="84"/>
      <c r="T990" s="84"/>
      <c r="U990" s="84"/>
      <c r="V990" s="84"/>
      <c r="W990" s="84"/>
      <c r="Y990" s="84"/>
      <c r="Z990" s="84"/>
      <c r="AA990" s="84"/>
      <c r="AB990" s="84"/>
      <c r="AC990" s="84"/>
      <c r="AD990" s="84"/>
      <c r="AE990" s="84"/>
      <c r="AF990" s="84"/>
      <c r="AG990" s="84"/>
      <c r="AH990" s="84"/>
      <c r="AI990" s="84"/>
      <c r="AL990" s="84"/>
      <c r="AM990" s="84"/>
      <c r="AN990" s="84"/>
      <c r="AO990" s="84"/>
      <c r="AP990" s="84"/>
      <c r="AQ990" s="84"/>
      <c r="AR990" s="84"/>
      <c r="AS990" s="84"/>
      <c r="AT990" s="84"/>
      <c r="AU990" s="84"/>
      <c r="AV990" s="84"/>
      <c r="AY990" s="84"/>
      <c r="AZ990" s="84"/>
      <c r="BA990" s="84"/>
      <c r="BB990" s="84"/>
      <c r="BC990" s="84"/>
      <c r="BD990" s="84"/>
      <c r="BE990" s="84"/>
      <c r="BF990" s="942"/>
      <c r="BG990" s="942"/>
      <c r="BH990" s="942"/>
      <c r="BI990" s="84"/>
      <c r="BL990" s="84"/>
      <c r="BM990" s="84"/>
      <c r="BN990" s="84"/>
      <c r="BO990" s="84"/>
      <c r="BP990" s="84"/>
      <c r="BQ990" s="84"/>
      <c r="BR990" s="84"/>
      <c r="BS990" s="942"/>
      <c r="BT990" s="942"/>
      <c r="BU990" s="942"/>
      <c r="BV990" s="84"/>
    </row>
    <row r="991" spans="14:74" ht="14.25">
      <c r="N991" s="84"/>
      <c r="O991" s="84"/>
      <c r="P991" s="84"/>
      <c r="Q991" s="84"/>
      <c r="R991" s="84"/>
      <c r="S991" s="84"/>
      <c r="T991" s="84"/>
      <c r="U991" s="84"/>
      <c r="V991" s="84"/>
      <c r="W991" s="84"/>
      <c r="Y991" s="84"/>
      <c r="Z991" s="84"/>
      <c r="AA991" s="84"/>
      <c r="AB991" s="84"/>
      <c r="AC991" s="84"/>
      <c r="AD991" s="84"/>
      <c r="AE991" s="84"/>
      <c r="AF991" s="84"/>
      <c r="AG991" s="84"/>
      <c r="AH991" s="84"/>
      <c r="AI991" s="84"/>
      <c r="AL991" s="84"/>
      <c r="AM991" s="84"/>
      <c r="AN991" s="84"/>
      <c r="AO991" s="84"/>
      <c r="AP991" s="84"/>
      <c r="AQ991" s="84"/>
      <c r="AR991" s="84"/>
      <c r="AS991" s="84"/>
      <c r="AT991" s="84"/>
      <c r="AU991" s="84"/>
      <c r="AV991" s="84"/>
      <c r="AY991" s="84"/>
      <c r="AZ991" s="84"/>
      <c r="BA991" s="84"/>
      <c r="BB991" s="84"/>
      <c r="BC991" s="84"/>
      <c r="BD991" s="84"/>
      <c r="BE991" s="84"/>
      <c r="BF991" s="942"/>
      <c r="BG991" s="942"/>
      <c r="BH991" s="942"/>
      <c r="BI991" s="84"/>
      <c r="BL991" s="84"/>
      <c r="BM991" s="84"/>
      <c r="BN991" s="84"/>
      <c r="BO991" s="84"/>
      <c r="BP991" s="84"/>
      <c r="BQ991" s="84"/>
      <c r="BR991" s="84"/>
      <c r="BS991" s="942"/>
      <c r="BT991" s="942"/>
      <c r="BU991" s="942"/>
      <c r="BV991" s="84"/>
    </row>
    <row r="992" spans="14:74" ht="14.25">
      <c r="N992" s="84"/>
      <c r="O992" s="84"/>
      <c r="P992" s="84"/>
      <c r="Q992" s="84"/>
      <c r="R992" s="84"/>
      <c r="S992" s="84"/>
      <c r="T992" s="84"/>
      <c r="U992" s="84"/>
      <c r="V992" s="84"/>
      <c r="W992" s="84"/>
      <c r="Y992" s="84"/>
      <c r="Z992" s="84"/>
      <c r="AA992" s="84"/>
      <c r="AB992" s="84"/>
      <c r="AC992" s="84"/>
      <c r="AD992" s="84"/>
      <c r="AE992" s="84"/>
      <c r="AF992" s="84"/>
      <c r="AG992" s="84"/>
      <c r="AH992" s="84"/>
      <c r="AI992" s="84"/>
      <c r="AL992" s="84"/>
      <c r="AM992" s="84"/>
      <c r="AN992" s="84"/>
      <c r="AO992" s="84"/>
      <c r="AP992" s="84"/>
      <c r="AQ992" s="84"/>
      <c r="AR992" s="84"/>
      <c r="AS992" s="84"/>
      <c r="AT992" s="84"/>
      <c r="AU992" s="84"/>
      <c r="AV992" s="84"/>
      <c r="AY992" s="84"/>
      <c r="AZ992" s="84"/>
      <c r="BA992" s="84"/>
      <c r="BB992" s="84"/>
      <c r="BC992" s="84"/>
      <c r="BD992" s="84"/>
      <c r="BE992" s="84"/>
      <c r="BF992" s="942"/>
      <c r="BG992" s="942"/>
      <c r="BH992" s="942"/>
      <c r="BI992" s="84"/>
      <c r="BL992" s="84"/>
      <c r="BM992" s="84"/>
      <c r="BN992" s="84"/>
      <c r="BO992" s="84"/>
      <c r="BP992" s="84"/>
      <c r="BQ992" s="84"/>
      <c r="BR992" s="84"/>
      <c r="BS992" s="942"/>
      <c r="BT992" s="942"/>
      <c r="BU992" s="942"/>
      <c r="BV992" s="84"/>
    </row>
    <row r="993" spans="14:74" ht="14.25">
      <c r="N993" s="84"/>
      <c r="O993" s="84"/>
      <c r="P993" s="84"/>
      <c r="Q993" s="84"/>
      <c r="R993" s="84"/>
      <c r="S993" s="84"/>
      <c r="T993" s="84"/>
      <c r="U993" s="84"/>
      <c r="V993" s="84"/>
      <c r="W993" s="84"/>
      <c r="Y993" s="84"/>
      <c r="Z993" s="84"/>
      <c r="AA993" s="84"/>
      <c r="AB993" s="84"/>
      <c r="AC993" s="84"/>
      <c r="AD993" s="84"/>
      <c r="AE993" s="84"/>
      <c r="AF993" s="84"/>
      <c r="AG993" s="84"/>
      <c r="AH993" s="84"/>
      <c r="AI993" s="84"/>
      <c r="AL993" s="84"/>
      <c r="AM993" s="84"/>
      <c r="AN993" s="84"/>
      <c r="AO993" s="84"/>
      <c r="AP993" s="84"/>
      <c r="AQ993" s="84"/>
      <c r="AR993" s="84"/>
      <c r="AS993" s="84"/>
      <c r="AT993" s="84"/>
      <c r="AU993" s="84"/>
      <c r="AV993" s="84"/>
      <c r="AY993" s="84"/>
      <c r="AZ993" s="84"/>
      <c r="BA993" s="84"/>
      <c r="BB993" s="84"/>
      <c r="BC993" s="84"/>
      <c r="BD993" s="84"/>
      <c r="BE993" s="84"/>
      <c r="BF993" s="942"/>
      <c r="BG993" s="942"/>
      <c r="BH993" s="942"/>
      <c r="BI993" s="84"/>
      <c r="BL993" s="84"/>
      <c r="BM993" s="84"/>
      <c r="BN993" s="84"/>
      <c r="BO993" s="84"/>
      <c r="BP993" s="84"/>
      <c r="BQ993" s="84"/>
      <c r="BR993" s="84"/>
      <c r="BS993" s="942"/>
      <c r="BT993" s="942"/>
      <c r="BU993" s="942"/>
      <c r="BV993" s="84"/>
    </row>
    <row r="994" spans="14:74" ht="14.25">
      <c r="N994" s="84"/>
      <c r="O994" s="84"/>
      <c r="P994" s="84"/>
      <c r="Q994" s="84"/>
      <c r="R994" s="84"/>
      <c r="S994" s="84"/>
      <c r="T994" s="84"/>
      <c r="U994" s="84"/>
      <c r="V994" s="84"/>
      <c r="W994" s="84"/>
      <c r="Y994" s="84"/>
      <c r="Z994" s="84"/>
      <c r="AA994" s="84"/>
      <c r="AB994" s="84"/>
      <c r="AC994" s="84"/>
      <c r="AD994" s="84"/>
      <c r="AE994" s="84"/>
      <c r="AF994" s="84"/>
      <c r="AG994" s="84"/>
      <c r="AH994" s="84"/>
      <c r="AI994" s="84"/>
      <c r="AL994" s="84"/>
      <c r="AM994" s="84"/>
      <c r="AN994" s="84"/>
      <c r="AO994" s="84"/>
      <c r="AP994" s="84"/>
      <c r="AQ994" s="84"/>
      <c r="AR994" s="84"/>
      <c r="AS994" s="84"/>
      <c r="AT994" s="84"/>
      <c r="AU994" s="84"/>
      <c r="AV994" s="84"/>
      <c r="AY994" s="84"/>
      <c r="AZ994" s="84"/>
      <c r="BA994" s="84"/>
      <c r="BB994" s="84"/>
      <c r="BC994" s="84"/>
      <c r="BD994" s="84"/>
      <c r="BE994" s="84"/>
      <c r="BF994" s="942"/>
      <c r="BG994" s="942"/>
      <c r="BH994" s="942"/>
      <c r="BI994" s="84"/>
      <c r="BL994" s="84"/>
      <c r="BM994" s="84"/>
      <c r="BN994" s="84"/>
      <c r="BO994" s="84"/>
      <c r="BP994" s="84"/>
      <c r="BQ994" s="84"/>
      <c r="BR994" s="84"/>
      <c r="BS994" s="942"/>
      <c r="BT994" s="942"/>
      <c r="BU994" s="942"/>
      <c r="BV994" s="84"/>
    </row>
    <row r="995" spans="14:74" ht="14.25">
      <c r="N995" s="84"/>
      <c r="O995" s="84"/>
      <c r="P995" s="84"/>
      <c r="Q995" s="84"/>
      <c r="R995" s="84"/>
      <c r="S995" s="84"/>
      <c r="T995" s="84"/>
      <c r="U995" s="84"/>
      <c r="V995" s="84"/>
      <c r="W995" s="84"/>
      <c r="Y995" s="84"/>
      <c r="Z995" s="84"/>
      <c r="AA995" s="84"/>
      <c r="AB995" s="84"/>
      <c r="AC995" s="84"/>
      <c r="AD995" s="84"/>
      <c r="AE995" s="84"/>
      <c r="AF995" s="84"/>
      <c r="AG995" s="84"/>
      <c r="AH995" s="84"/>
      <c r="AI995" s="84"/>
      <c r="AL995" s="84"/>
      <c r="AM995" s="84"/>
      <c r="AN995" s="84"/>
      <c r="AO995" s="84"/>
      <c r="AP995" s="84"/>
      <c r="AQ995" s="84"/>
      <c r="AR995" s="84"/>
      <c r="AS995" s="84"/>
      <c r="AT995" s="84"/>
      <c r="AU995" s="84"/>
      <c r="AV995" s="84"/>
      <c r="AY995" s="84"/>
      <c r="AZ995" s="84"/>
      <c r="BA995" s="84"/>
      <c r="BB995" s="84"/>
      <c r="BC995" s="84"/>
      <c r="BD995" s="84"/>
      <c r="BE995" s="84"/>
      <c r="BF995" s="942"/>
      <c r="BG995" s="942"/>
      <c r="BH995" s="942"/>
      <c r="BI995" s="84"/>
      <c r="BL995" s="84"/>
      <c r="BM995" s="84"/>
      <c r="BN995" s="84"/>
      <c r="BO995" s="84"/>
      <c r="BP995" s="84"/>
      <c r="BQ995" s="84"/>
      <c r="BR995" s="84"/>
      <c r="BS995" s="942"/>
      <c r="BT995" s="942"/>
      <c r="BU995" s="942"/>
      <c r="BV995" s="84"/>
    </row>
    <row r="996" spans="14:74" ht="14.25">
      <c r="N996" s="84"/>
      <c r="O996" s="84"/>
      <c r="P996" s="84"/>
      <c r="Q996" s="84"/>
      <c r="R996" s="84"/>
      <c r="S996" s="84"/>
      <c r="T996" s="84"/>
      <c r="U996" s="84"/>
      <c r="V996" s="84"/>
      <c r="W996" s="84"/>
      <c r="Y996" s="84"/>
      <c r="Z996" s="84"/>
      <c r="AA996" s="84"/>
      <c r="AB996" s="84"/>
      <c r="AC996" s="84"/>
      <c r="AD996" s="84"/>
      <c r="AE996" s="84"/>
      <c r="AF996" s="84"/>
      <c r="AG996" s="84"/>
      <c r="AH996" s="84"/>
      <c r="AI996" s="84"/>
      <c r="AL996" s="84"/>
      <c r="AM996" s="84"/>
      <c r="AN996" s="84"/>
      <c r="AO996" s="84"/>
      <c r="AP996" s="84"/>
      <c r="AQ996" s="84"/>
      <c r="AR996" s="84"/>
      <c r="AS996" s="84"/>
      <c r="AT996" s="84"/>
      <c r="AU996" s="84"/>
      <c r="AV996" s="84"/>
      <c r="AY996" s="84"/>
      <c r="AZ996" s="84"/>
      <c r="BA996" s="84"/>
      <c r="BB996" s="84"/>
      <c r="BC996" s="84"/>
      <c r="BD996" s="84"/>
      <c r="BE996" s="84"/>
      <c r="BF996" s="942"/>
      <c r="BG996" s="942"/>
      <c r="BH996" s="942"/>
      <c r="BI996" s="84"/>
      <c r="BL996" s="84"/>
      <c r="BM996" s="84"/>
      <c r="BN996" s="84"/>
      <c r="BO996" s="84"/>
      <c r="BP996" s="84"/>
      <c r="BQ996" s="84"/>
      <c r="BR996" s="84"/>
      <c r="BS996" s="942"/>
      <c r="BT996" s="942"/>
      <c r="BU996" s="942"/>
      <c r="BV996" s="84"/>
    </row>
    <row r="997" spans="14:74" ht="14.25">
      <c r="N997" s="84"/>
      <c r="O997" s="84"/>
      <c r="P997" s="84"/>
      <c r="Q997" s="84"/>
      <c r="R997" s="84"/>
      <c r="S997" s="84"/>
      <c r="T997" s="84"/>
      <c r="U997" s="84"/>
      <c r="V997" s="84"/>
      <c r="W997" s="84"/>
      <c r="Y997" s="84"/>
      <c r="Z997" s="84"/>
      <c r="AA997" s="84"/>
      <c r="AB997" s="84"/>
      <c r="AC997" s="84"/>
      <c r="AD997" s="84"/>
      <c r="AE997" s="84"/>
      <c r="AF997" s="84"/>
      <c r="AG997" s="84"/>
      <c r="AH997" s="84"/>
      <c r="AI997" s="84"/>
      <c r="AL997" s="84"/>
      <c r="AM997" s="84"/>
      <c r="AN997" s="84"/>
      <c r="AO997" s="84"/>
      <c r="AP997" s="84"/>
      <c r="AQ997" s="84"/>
      <c r="AR997" s="84"/>
      <c r="AS997" s="84"/>
      <c r="AT997" s="84"/>
      <c r="AU997" s="84"/>
      <c r="AV997" s="84"/>
      <c r="AY997" s="84"/>
      <c r="AZ997" s="84"/>
      <c r="BA997" s="84"/>
      <c r="BB997" s="84"/>
      <c r="BC997" s="84"/>
      <c r="BD997" s="84"/>
      <c r="BE997" s="84"/>
      <c r="BF997" s="942"/>
      <c r="BG997" s="942"/>
      <c r="BH997" s="942"/>
      <c r="BI997" s="84"/>
      <c r="BL997" s="84"/>
      <c r="BM997" s="84"/>
      <c r="BN997" s="84"/>
      <c r="BO997" s="84"/>
      <c r="BP997" s="84"/>
      <c r="BQ997" s="84"/>
      <c r="BR997" s="84"/>
      <c r="BS997" s="942"/>
      <c r="BT997" s="942"/>
      <c r="BU997" s="942"/>
      <c r="BV997" s="84"/>
    </row>
    <row r="998" spans="14:74" ht="14.25">
      <c r="N998" s="84"/>
      <c r="O998" s="84"/>
      <c r="P998" s="84"/>
      <c r="Q998" s="84"/>
      <c r="R998" s="84"/>
      <c r="S998" s="84"/>
      <c r="T998" s="84"/>
      <c r="U998" s="84"/>
      <c r="V998" s="84"/>
      <c r="W998" s="84"/>
      <c r="Y998" s="84"/>
      <c r="Z998" s="84"/>
      <c r="AA998" s="84"/>
      <c r="AB998" s="84"/>
      <c r="AC998" s="84"/>
      <c r="AD998" s="84"/>
      <c r="AE998" s="84"/>
      <c r="AF998" s="84"/>
      <c r="AG998" s="84"/>
      <c r="AH998" s="84"/>
      <c r="AI998" s="84"/>
      <c r="AL998" s="84"/>
      <c r="AM998" s="84"/>
      <c r="AN998" s="84"/>
      <c r="AO998" s="84"/>
      <c r="AP998" s="84"/>
      <c r="AQ998" s="84"/>
      <c r="AR998" s="84"/>
      <c r="AS998" s="84"/>
      <c r="AT998" s="84"/>
      <c r="AU998" s="84"/>
      <c r="AV998" s="84"/>
      <c r="AY998" s="84"/>
      <c r="AZ998" s="84"/>
      <c r="BA998" s="84"/>
      <c r="BB998" s="84"/>
      <c r="BC998" s="84"/>
      <c r="BD998" s="84"/>
      <c r="BE998" s="84"/>
      <c r="BF998" s="942"/>
      <c r="BG998" s="942"/>
      <c r="BH998" s="942"/>
      <c r="BI998" s="84"/>
      <c r="BL998" s="84"/>
      <c r="BM998" s="84"/>
      <c r="BN998" s="84"/>
      <c r="BO998" s="84"/>
      <c r="BP998" s="84"/>
      <c r="BQ998" s="84"/>
      <c r="BR998" s="84"/>
      <c r="BS998" s="942"/>
      <c r="BT998" s="942"/>
      <c r="BU998" s="942"/>
      <c r="BV998" s="84"/>
    </row>
    <row r="999" spans="14:74" ht="14.25">
      <c r="N999" s="84"/>
      <c r="O999" s="84"/>
      <c r="P999" s="84"/>
      <c r="Q999" s="84"/>
      <c r="R999" s="84"/>
      <c r="S999" s="84"/>
      <c r="T999" s="84"/>
      <c r="U999" s="84"/>
      <c r="V999" s="84"/>
      <c r="W999" s="84"/>
      <c r="Y999" s="84"/>
      <c r="Z999" s="84"/>
      <c r="AA999" s="84"/>
      <c r="AB999" s="84"/>
      <c r="AC999" s="84"/>
      <c r="AD999" s="84"/>
      <c r="AE999" s="84"/>
      <c r="AF999" s="84"/>
      <c r="AG999" s="84"/>
      <c r="AH999" s="84"/>
      <c r="AI999" s="84"/>
      <c r="AL999" s="84"/>
      <c r="AM999" s="84"/>
      <c r="AN999" s="84"/>
      <c r="AO999" s="84"/>
      <c r="AP999" s="84"/>
      <c r="AQ999" s="84"/>
      <c r="AR999" s="84"/>
      <c r="AS999" s="84"/>
      <c r="AT999" s="84"/>
      <c r="AU999" s="84"/>
      <c r="AV999" s="84"/>
      <c r="AY999" s="84"/>
      <c r="AZ999" s="84"/>
      <c r="BA999" s="84"/>
      <c r="BB999" s="84"/>
      <c r="BC999" s="84"/>
      <c r="BD999" s="84"/>
      <c r="BE999" s="84"/>
      <c r="BF999" s="942"/>
      <c r="BG999" s="942"/>
      <c r="BH999" s="942"/>
      <c r="BI999" s="84"/>
      <c r="BL999" s="84"/>
      <c r="BM999" s="84"/>
      <c r="BN999" s="84"/>
      <c r="BO999" s="84"/>
      <c r="BP999" s="84"/>
      <c r="BQ999" s="84"/>
      <c r="BR999" s="84"/>
      <c r="BS999" s="942"/>
      <c r="BT999" s="942"/>
      <c r="BU999" s="942"/>
      <c r="BV999" s="84"/>
    </row>
    <row r="1000" spans="14:74" ht="14.25">
      <c r="N1000" s="84"/>
      <c r="O1000" s="84"/>
      <c r="P1000" s="84"/>
      <c r="Q1000" s="84"/>
      <c r="R1000" s="84"/>
      <c r="S1000" s="84"/>
      <c r="T1000" s="84"/>
      <c r="U1000" s="84"/>
      <c r="V1000" s="84"/>
      <c r="W1000" s="84"/>
      <c r="Y1000" s="84"/>
      <c r="Z1000" s="84"/>
      <c r="AA1000" s="84"/>
      <c r="AB1000" s="84"/>
      <c r="AC1000" s="84"/>
      <c r="AD1000" s="84"/>
      <c r="AE1000" s="84"/>
      <c r="AF1000" s="84"/>
      <c r="AG1000" s="84"/>
      <c r="AH1000" s="84"/>
      <c r="AI1000" s="84"/>
      <c r="AL1000" s="84"/>
      <c r="AM1000" s="84"/>
      <c r="AN1000" s="84"/>
      <c r="AO1000" s="84"/>
      <c r="AP1000" s="84"/>
      <c r="AQ1000" s="84"/>
      <c r="AR1000" s="84"/>
      <c r="AS1000" s="84"/>
      <c r="AT1000" s="84"/>
      <c r="AU1000" s="84"/>
      <c r="AV1000" s="84"/>
      <c r="AY1000" s="84"/>
      <c r="AZ1000" s="84"/>
      <c r="BA1000" s="84"/>
      <c r="BB1000" s="84"/>
      <c r="BC1000" s="84"/>
      <c r="BD1000" s="84"/>
      <c r="BE1000" s="84"/>
      <c r="BF1000" s="942"/>
      <c r="BG1000" s="942"/>
      <c r="BH1000" s="942"/>
      <c r="BI1000" s="84"/>
      <c r="BL1000" s="84"/>
      <c r="BM1000" s="84"/>
      <c r="BN1000" s="84"/>
      <c r="BO1000" s="84"/>
      <c r="BP1000" s="84"/>
      <c r="BQ1000" s="84"/>
      <c r="BR1000" s="84"/>
      <c r="BS1000" s="942"/>
      <c r="BT1000" s="942"/>
      <c r="BU1000" s="942"/>
      <c r="BV1000" s="84"/>
    </row>
    <row r="1001" spans="14:74" ht="14.25">
      <c r="N1001" s="84"/>
      <c r="O1001" s="84"/>
      <c r="P1001" s="84"/>
      <c r="Q1001" s="84"/>
      <c r="R1001" s="84"/>
      <c r="S1001" s="84"/>
      <c r="T1001" s="84"/>
      <c r="U1001" s="84"/>
      <c r="V1001" s="84"/>
      <c r="W1001" s="84"/>
      <c r="Y1001" s="84"/>
      <c r="Z1001" s="84"/>
      <c r="AA1001" s="84"/>
      <c r="AB1001" s="84"/>
      <c r="AC1001" s="84"/>
      <c r="AD1001" s="84"/>
      <c r="AE1001" s="84"/>
      <c r="AF1001" s="84"/>
      <c r="AG1001" s="84"/>
      <c r="AH1001" s="84"/>
      <c r="AI1001" s="84"/>
      <c r="AL1001" s="84"/>
      <c r="AM1001" s="84"/>
      <c r="AN1001" s="84"/>
      <c r="AO1001" s="84"/>
      <c r="AP1001" s="84"/>
      <c r="AQ1001" s="84"/>
      <c r="AR1001" s="84"/>
      <c r="AS1001" s="84"/>
      <c r="AT1001" s="84"/>
      <c r="AU1001" s="84"/>
      <c r="AV1001" s="84"/>
      <c r="AY1001" s="84"/>
      <c r="AZ1001" s="84"/>
      <c r="BA1001" s="84"/>
      <c r="BB1001" s="84"/>
      <c r="BC1001" s="84"/>
      <c r="BD1001" s="84"/>
      <c r="BE1001" s="84"/>
      <c r="BF1001" s="942"/>
      <c r="BG1001" s="942"/>
      <c r="BH1001" s="942"/>
      <c r="BI1001" s="84"/>
      <c r="BL1001" s="84"/>
      <c r="BM1001" s="84"/>
      <c r="BN1001" s="84"/>
      <c r="BO1001" s="84"/>
      <c r="BP1001" s="84"/>
      <c r="BQ1001" s="84"/>
      <c r="BR1001" s="84"/>
      <c r="BS1001" s="942"/>
      <c r="BT1001" s="942"/>
      <c r="BU1001" s="942"/>
      <c r="BV1001" s="84"/>
    </row>
    <row r="1002" spans="14:74" ht="14.25">
      <c r="N1002" s="84"/>
      <c r="O1002" s="84"/>
      <c r="P1002" s="84"/>
      <c r="Q1002" s="84"/>
      <c r="R1002" s="84"/>
      <c r="S1002" s="84"/>
      <c r="T1002" s="84"/>
      <c r="U1002" s="84"/>
      <c r="V1002" s="84"/>
      <c r="W1002" s="84"/>
      <c r="Y1002" s="84"/>
      <c r="Z1002" s="84"/>
      <c r="AA1002" s="84"/>
      <c r="AB1002" s="84"/>
      <c r="AC1002" s="84"/>
      <c r="AD1002" s="84"/>
      <c r="AE1002" s="84"/>
      <c r="AF1002" s="84"/>
      <c r="AG1002" s="84"/>
      <c r="AH1002" s="84"/>
      <c r="AI1002" s="84"/>
      <c r="AL1002" s="84"/>
      <c r="AM1002" s="84"/>
      <c r="AN1002" s="84"/>
      <c r="AO1002" s="84"/>
      <c r="AP1002" s="84"/>
      <c r="AQ1002" s="84"/>
      <c r="AR1002" s="84"/>
      <c r="AS1002" s="84"/>
      <c r="AT1002" s="84"/>
      <c r="AU1002" s="84"/>
      <c r="AV1002" s="84"/>
      <c r="AY1002" s="84"/>
      <c r="AZ1002" s="84"/>
      <c r="BA1002" s="84"/>
      <c r="BB1002" s="84"/>
      <c r="BC1002" s="84"/>
      <c r="BD1002" s="84"/>
      <c r="BE1002" s="84"/>
      <c r="BF1002" s="942"/>
      <c r="BG1002" s="942"/>
      <c r="BH1002" s="942"/>
      <c r="BI1002" s="84"/>
      <c r="BL1002" s="84"/>
      <c r="BM1002" s="84"/>
      <c r="BN1002" s="84"/>
      <c r="BO1002" s="84"/>
      <c r="BP1002" s="84"/>
      <c r="BQ1002" s="84"/>
      <c r="BR1002" s="84"/>
      <c r="BS1002" s="942"/>
      <c r="BT1002" s="942"/>
      <c r="BU1002" s="942"/>
      <c r="BV1002" s="84"/>
    </row>
    <row r="1003" spans="14:74" ht="14.25">
      <c r="N1003" s="84"/>
      <c r="O1003" s="84"/>
      <c r="P1003" s="84"/>
      <c r="Q1003" s="84"/>
      <c r="R1003" s="84"/>
      <c r="S1003" s="84"/>
      <c r="T1003" s="84"/>
      <c r="U1003" s="84"/>
      <c r="V1003" s="84"/>
      <c r="W1003" s="84"/>
      <c r="Y1003" s="84"/>
      <c r="Z1003" s="84"/>
      <c r="AA1003" s="84"/>
      <c r="AB1003" s="84"/>
      <c r="AC1003" s="84"/>
      <c r="AD1003" s="84"/>
      <c r="AE1003" s="84"/>
      <c r="AF1003" s="84"/>
      <c r="AG1003" s="84"/>
      <c r="AH1003" s="84"/>
      <c r="AI1003" s="84"/>
      <c r="AL1003" s="84"/>
      <c r="AM1003" s="84"/>
      <c r="AN1003" s="84"/>
      <c r="AO1003" s="84"/>
      <c r="AP1003" s="84"/>
      <c r="AQ1003" s="84"/>
      <c r="AR1003" s="84"/>
      <c r="AS1003" s="84"/>
      <c r="AT1003" s="84"/>
      <c r="AU1003" s="84"/>
      <c r="AV1003" s="84"/>
      <c r="AY1003" s="84"/>
      <c r="AZ1003" s="84"/>
      <c r="BA1003" s="84"/>
      <c r="BB1003" s="84"/>
      <c r="BC1003" s="84"/>
      <c r="BD1003" s="84"/>
      <c r="BE1003" s="84"/>
      <c r="BF1003" s="942"/>
      <c r="BG1003" s="942"/>
      <c r="BH1003" s="942"/>
      <c r="BI1003" s="84"/>
      <c r="BL1003" s="84"/>
      <c r="BM1003" s="84"/>
      <c r="BN1003" s="84"/>
      <c r="BO1003" s="84"/>
      <c r="BP1003" s="84"/>
      <c r="BQ1003" s="84"/>
      <c r="BR1003" s="84"/>
      <c r="BS1003" s="942"/>
      <c r="BT1003" s="942"/>
      <c r="BU1003" s="942"/>
      <c r="BV1003" s="84"/>
    </row>
    <row r="1004" spans="14:74" ht="14.25">
      <c r="N1004" s="84"/>
      <c r="O1004" s="84"/>
      <c r="P1004" s="84"/>
      <c r="Q1004" s="84"/>
      <c r="R1004" s="84"/>
      <c r="S1004" s="84"/>
      <c r="T1004" s="84"/>
      <c r="U1004" s="84"/>
      <c r="V1004" s="84"/>
      <c r="W1004" s="84"/>
      <c r="Y1004" s="84"/>
      <c r="Z1004" s="84"/>
      <c r="AA1004" s="84"/>
      <c r="AB1004" s="84"/>
      <c r="AC1004" s="84"/>
      <c r="AD1004" s="84"/>
      <c r="AE1004" s="84"/>
      <c r="AF1004" s="84"/>
      <c r="AG1004" s="84"/>
      <c r="AH1004" s="84"/>
      <c r="AI1004" s="84"/>
      <c r="AL1004" s="84"/>
      <c r="AM1004" s="84"/>
      <c r="AN1004" s="84"/>
      <c r="AO1004" s="84"/>
      <c r="AP1004" s="84"/>
      <c r="AQ1004" s="84"/>
      <c r="AR1004" s="84"/>
      <c r="AS1004" s="84"/>
      <c r="AT1004" s="84"/>
      <c r="AU1004" s="84"/>
      <c r="AV1004" s="84"/>
      <c r="AY1004" s="84"/>
      <c r="AZ1004" s="84"/>
      <c r="BA1004" s="84"/>
      <c r="BB1004" s="84"/>
      <c r="BC1004" s="84"/>
      <c r="BD1004" s="84"/>
      <c r="BE1004" s="84"/>
      <c r="BF1004" s="942"/>
      <c r="BG1004" s="942"/>
      <c r="BH1004" s="942"/>
      <c r="BI1004" s="84"/>
      <c r="BL1004" s="84"/>
      <c r="BM1004" s="84"/>
      <c r="BN1004" s="84"/>
      <c r="BO1004" s="84"/>
      <c r="BP1004" s="84"/>
      <c r="BQ1004" s="84"/>
      <c r="BR1004" s="84"/>
      <c r="BS1004" s="942"/>
      <c r="BT1004" s="942"/>
      <c r="BU1004" s="942"/>
      <c r="BV1004" s="84"/>
    </row>
    <row r="1005" spans="14:74" ht="14.25">
      <c r="N1005" s="84"/>
      <c r="O1005" s="84"/>
      <c r="P1005" s="84"/>
      <c r="Q1005" s="84"/>
      <c r="R1005" s="84"/>
      <c r="S1005" s="84"/>
      <c r="T1005" s="84"/>
      <c r="U1005" s="84"/>
      <c r="V1005" s="84"/>
      <c r="W1005" s="84"/>
      <c r="Y1005" s="84"/>
      <c r="Z1005" s="84"/>
      <c r="AA1005" s="84"/>
      <c r="AB1005" s="84"/>
      <c r="AC1005" s="84"/>
      <c r="AD1005" s="84"/>
      <c r="AE1005" s="84"/>
      <c r="AF1005" s="84"/>
      <c r="AG1005" s="84"/>
      <c r="AH1005" s="84"/>
      <c r="AI1005" s="84"/>
      <c r="AL1005" s="84"/>
      <c r="AM1005" s="84"/>
      <c r="AN1005" s="84"/>
      <c r="AO1005" s="84"/>
      <c r="AP1005" s="84"/>
      <c r="AQ1005" s="84"/>
      <c r="AR1005" s="84"/>
      <c r="AS1005" s="84"/>
      <c r="AT1005" s="84"/>
      <c r="AU1005" s="84"/>
      <c r="AV1005" s="84"/>
      <c r="AY1005" s="84"/>
      <c r="AZ1005" s="84"/>
      <c r="BA1005" s="84"/>
      <c r="BB1005" s="84"/>
      <c r="BC1005" s="84"/>
      <c r="BD1005" s="84"/>
      <c r="BE1005" s="84"/>
      <c r="BF1005" s="942"/>
      <c r="BG1005" s="942"/>
      <c r="BH1005" s="942"/>
      <c r="BI1005" s="84"/>
      <c r="BL1005" s="84"/>
      <c r="BM1005" s="84"/>
      <c r="BN1005" s="84"/>
      <c r="BO1005" s="84"/>
      <c r="BP1005" s="84"/>
      <c r="BQ1005" s="84"/>
      <c r="BR1005" s="84"/>
      <c r="BS1005" s="942"/>
      <c r="BT1005" s="942"/>
      <c r="BU1005" s="942"/>
      <c r="BV1005" s="84"/>
    </row>
    <row r="1006" spans="14:74" ht="14.25">
      <c r="N1006" s="84"/>
      <c r="O1006" s="84"/>
      <c r="P1006" s="84"/>
      <c r="Q1006" s="84"/>
      <c r="R1006" s="84"/>
      <c r="S1006" s="84"/>
      <c r="T1006" s="84"/>
      <c r="U1006" s="84"/>
      <c r="V1006" s="84"/>
      <c r="W1006" s="84"/>
      <c r="Y1006" s="84"/>
      <c r="Z1006" s="84"/>
      <c r="AA1006" s="84"/>
      <c r="AB1006" s="84"/>
      <c r="AC1006" s="84"/>
      <c r="AD1006" s="84"/>
      <c r="AE1006" s="84"/>
      <c r="AF1006" s="84"/>
      <c r="AG1006" s="84"/>
      <c r="AH1006" s="84"/>
      <c r="AI1006" s="84"/>
      <c r="AL1006" s="84"/>
      <c r="AM1006" s="84"/>
      <c r="AN1006" s="84"/>
      <c r="AO1006" s="84"/>
      <c r="AP1006" s="84"/>
      <c r="AQ1006" s="84"/>
      <c r="AR1006" s="84"/>
      <c r="AS1006" s="84"/>
      <c r="AT1006" s="84"/>
      <c r="AU1006" s="84"/>
      <c r="AV1006" s="84"/>
      <c r="AY1006" s="84"/>
      <c r="AZ1006" s="84"/>
      <c r="BA1006" s="84"/>
      <c r="BB1006" s="84"/>
      <c r="BC1006" s="84"/>
      <c r="BD1006" s="84"/>
      <c r="BE1006" s="84"/>
      <c r="BF1006" s="942"/>
      <c r="BG1006" s="942"/>
      <c r="BH1006" s="942"/>
      <c r="BI1006" s="84"/>
      <c r="BL1006" s="84"/>
      <c r="BM1006" s="84"/>
      <c r="BN1006" s="84"/>
      <c r="BO1006" s="84"/>
      <c r="BP1006" s="84"/>
      <c r="BQ1006" s="84"/>
      <c r="BR1006" s="84"/>
      <c r="BS1006" s="942"/>
      <c r="BT1006" s="942"/>
      <c r="BU1006" s="942"/>
      <c r="BV1006" s="84"/>
    </row>
    <row r="1007" spans="14:74" ht="14.25">
      <c r="N1007" s="84"/>
      <c r="O1007" s="84"/>
      <c r="P1007" s="84"/>
      <c r="Q1007" s="84"/>
      <c r="R1007" s="84"/>
      <c r="S1007" s="84"/>
      <c r="T1007" s="84"/>
      <c r="U1007" s="84"/>
      <c r="V1007" s="84"/>
      <c r="W1007" s="84"/>
      <c r="Y1007" s="84"/>
      <c r="Z1007" s="84"/>
      <c r="AA1007" s="84"/>
      <c r="AB1007" s="84"/>
      <c r="AC1007" s="84"/>
      <c r="AD1007" s="84"/>
      <c r="AE1007" s="84"/>
      <c r="AF1007" s="84"/>
      <c r="AG1007" s="84"/>
      <c r="AH1007" s="84"/>
      <c r="AI1007" s="84"/>
      <c r="AL1007" s="84"/>
      <c r="AM1007" s="84"/>
      <c r="AN1007" s="84"/>
      <c r="AO1007" s="84"/>
      <c r="AP1007" s="84"/>
      <c r="AQ1007" s="84"/>
      <c r="AR1007" s="84"/>
      <c r="AS1007" s="84"/>
      <c r="AT1007" s="84"/>
      <c r="AU1007" s="84"/>
      <c r="AV1007" s="84"/>
      <c r="AY1007" s="84"/>
      <c r="AZ1007" s="84"/>
      <c r="BA1007" s="84"/>
      <c r="BB1007" s="84"/>
      <c r="BC1007" s="84"/>
      <c r="BD1007" s="84"/>
      <c r="BE1007" s="84"/>
      <c r="BF1007" s="942"/>
      <c r="BG1007" s="942"/>
      <c r="BH1007" s="942"/>
      <c r="BI1007" s="84"/>
      <c r="BL1007" s="84"/>
      <c r="BM1007" s="84"/>
      <c r="BN1007" s="84"/>
      <c r="BO1007" s="84"/>
      <c r="BP1007" s="84"/>
      <c r="BQ1007" s="84"/>
      <c r="BR1007" s="84"/>
      <c r="BS1007" s="942"/>
      <c r="BT1007" s="942"/>
      <c r="BU1007" s="942"/>
      <c r="BV1007" s="84"/>
    </row>
    <row r="1008" spans="14:74" ht="14.25">
      <c r="N1008" s="84"/>
      <c r="O1008" s="84"/>
      <c r="P1008" s="84"/>
      <c r="Q1008" s="84"/>
      <c r="R1008" s="84"/>
      <c r="S1008" s="84"/>
      <c r="T1008" s="84"/>
      <c r="U1008" s="84"/>
      <c r="V1008" s="84"/>
      <c r="W1008" s="84"/>
      <c r="Y1008" s="84"/>
      <c r="Z1008" s="84"/>
      <c r="AA1008" s="84"/>
      <c r="AB1008" s="84"/>
      <c r="AC1008" s="84"/>
      <c r="AD1008" s="84"/>
      <c r="AE1008" s="84"/>
      <c r="AF1008" s="84"/>
      <c r="AG1008" s="84"/>
      <c r="AH1008" s="84"/>
      <c r="AI1008" s="84"/>
      <c r="AL1008" s="84"/>
      <c r="AM1008" s="84"/>
      <c r="AN1008" s="84"/>
      <c r="AO1008" s="84"/>
      <c r="AP1008" s="84"/>
      <c r="AQ1008" s="84"/>
      <c r="AR1008" s="84"/>
      <c r="AS1008" s="84"/>
      <c r="AT1008" s="84"/>
      <c r="AU1008" s="84"/>
      <c r="AV1008" s="84"/>
      <c r="AY1008" s="84"/>
      <c r="AZ1008" s="84"/>
      <c r="BA1008" s="84"/>
      <c r="BB1008" s="84"/>
      <c r="BC1008" s="84"/>
      <c r="BD1008" s="84"/>
      <c r="BE1008" s="84"/>
      <c r="BF1008" s="942"/>
      <c r="BG1008" s="942"/>
      <c r="BH1008" s="942"/>
      <c r="BI1008" s="84"/>
      <c r="BL1008" s="84"/>
      <c r="BM1008" s="84"/>
      <c r="BN1008" s="84"/>
      <c r="BO1008" s="84"/>
      <c r="BP1008" s="84"/>
      <c r="BQ1008" s="84"/>
      <c r="BR1008" s="84"/>
      <c r="BS1008" s="942"/>
      <c r="BT1008" s="942"/>
      <c r="BU1008" s="942"/>
      <c r="BV1008" s="84"/>
    </row>
    <row r="1009" spans="14:74" ht="14.25">
      <c r="N1009" s="84"/>
      <c r="O1009" s="84"/>
      <c r="P1009" s="84"/>
      <c r="Q1009" s="84"/>
      <c r="R1009" s="84"/>
      <c r="S1009" s="84"/>
      <c r="T1009" s="84"/>
      <c r="U1009" s="84"/>
      <c r="V1009" s="84"/>
      <c r="W1009" s="84"/>
      <c r="Y1009" s="84"/>
      <c r="Z1009" s="84"/>
      <c r="AA1009" s="84"/>
      <c r="AB1009" s="84"/>
      <c r="AC1009" s="84"/>
      <c r="AD1009" s="84"/>
      <c r="AE1009" s="84"/>
      <c r="AF1009" s="84"/>
      <c r="AG1009" s="84"/>
      <c r="AH1009" s="84"/>
      <c r="AI1009" s="84"/>
      <c r="AL1009" s="84"/>
      <c r="AM1009" s="84"/>
      <c r="AN1009" s="84"/>
      <c r="AO1009" s="84"/>
      <c r="AP1009" s="84"/>
      <c r="AQ1009" s="84"/>
      <c r="AR1009" s="84"/>
      <c r="AS1009" s="84"/>
      <c r="AT1009" s="84"/>
      <c r="AU1009" s="84"/>
      <c r="AV1009" s="84"/>
      <c r="AY1009" s="84"/>
      <c r="AZ1009" s="84"/>
      <c r="BA1009" s="84"/>
      <c r="BB1009" s="84"/>
      <c r="BC1009" s="84"/>
      <c r="BD1009" s="84"/>
      <c r="BE1009" s="84"/>
      <c r="BF1009" s="942"/>
      <c r="BG1009" s="942"/>
      <c r="BH1009" s="942"/>
      <c r="BI1009" s="84"/>
      <c r="BL1009" s="84"/>
      <c r="BM1009" s="84"/>
      <c r="BN1009" s="84"/>
      <c r="BO1009" s="84"/>
      <c r="BP1009" s="84"/>
      <c r="BQ1009" s="84"/>
      <c r="BR1009" s="84"/>
      <c r="BS1009" s="942"/>
      <c r="BT1009" s="942"/>
      <c r="BU1009" s="942"/>
      <c r="BV1009" s="84"/>
    </row>
    <row r="1010" spans="14:74" ht="14.25">
      <c r="N1010" s="84"/>
      <c r="O1010" s="84"/>
      <c r="P1010" s="84"/>
      <c r="Q1010" s="84"/>
      <c r="R1010" s="84"/>
      <c r="S1010" s="84"/>
      <c r="T1010" s="84"/>
      <c r="U1010" s="84"/>
      <c r="V1010" s="84"/>
      <c r="W1010" s="84"/>
      <c r="Y1010" s="84"/>
      <c r="Z1010" s="84"/>
      <c r="AA1010" s="84"/>
      <c r="AB1010" s="84"/>
      <c r="AC1010" s="84"/>
      <c r="AD1010" s="84"/>
      <c r="AE1010" s="84"/>
      <c r="AF1010" s="84"/>
      <c r="AG1010" s="84"/>
      <c r="AH1010" s="84"/>
      <c r="AI1010" s="84"/>
      <c r="AL1010" s="84"/>
      <c r="AM1010" s="84"/>
      <c r="AN1010" s="84"/>
      <c r="AO1010" s="84"/>
      <c r="AP1010" s="84"/>
      <c r="AQ1010" s="84"/>
      <c r="AR1010" s="84"/>
      <c r="AS1010" s="84"/>
      <c r="AT1010" s="84"/>
      <c r="AU1010" s="84"/>
      <c r="AV1010" s="84"/>
      <c r="AY1010" s="84"/>
      <c r="AZ1010" s="84"/>
      <c r="BA1010" s="84"/>
      <c r="BB1010" s="84"/>
      <c r="BC1010" s="84"/>
      <c r="BD1010" s="84"/>
      <c r="BE1010" s="84"/>
      <c r="BF1010" s="942"/>
      <c r="BG1010" s="942"/>
      <c r="BH1010" s="942"/>
      <c r="BI1010" s="84"/>
      <c r="BL1010" s="84"/>
      <c r="BM1010" s="84"/>
      <c r="BN1010" s="84"/>
      <c r="BO1010" s="84"/>
      <c r="BP1010" s="84"/>
      <c r="BQ1010" s="84"/>
      <c r="BR1010" s="84"/>
      <c r="BS1010" s="942"/>
      <c r="BT1010" s="942"/>
      <c r="BU1010" s="942"/>
      <c r="BV1010" s="84"/>
    </row>
    <row r="1011" spans="14:74" ht="14.25">
      <c r="N1011" s="84"/>
      <c r="O1011" s="84"/>
      <c r="P1011" s="84"/>
      <c r="Q1011" s="84"/>
      <c r="R1011" s="84"/>
      <c r="S1011" s="84"/>
      <c r="T1011" s="84"/>
      <c r="U1011" s="84"/>
      <c r="V1011" s="84"/>
      <c r="W1011" s="84"/>
      <c r="Y1011" s="84"/>
      <c r="Z1011" s="84"/>
      <c r="AA1011" s="84"/>
      <c r="AB1011" s="84"/>
      <c r="AC1011" s="84"/>
      <c r="AD1011" s="84"/>
      <c r="AE1011" s="84"/>
      <c r="AF1011" s="84"/>
      <c r="AG1011" s="84"/>
      <c r="AH1011" s="84"/>
      <c r="AI1011" s="84"/>
      <c r="AL1011" s="84"/>
      <c r="AM1011" s="84"/>
      <c r="AN1011" s="84"/>
      <c r="AO1011" s="84"/>
      <c r="AP1011" s="84"/>
      <c r="AQ1011" s="84"/>
      <c r="AR1011" s="84"/>
      <c r="AS1011" s="84"/>
      <c r="AT1011" s="84"/>
      <c r="AU1011" s="84"/>
      <c r="AV1011" s="84"/>
      <c r="AY1011" s="84"/>
      <c r="AZ1011" s="84"/>
      <c r="BA1011" s="84"/>
      <c r="BB1011" s="84"/>
      <c r="BC1011" s="84"/>
      <c r="BD1011" s="84"/>
      <c r="BE1011" s="84"/>
      <c r="BF1011" s="942"/>
      <c r="BG1011" s="942"/>
      <c r="BH1011" s="942"/>
      <c r="BI1011" s="84"/>
      <c r="BL1011" s="84"/>
      <c r="BM1011" s="84"/>
      <c r="BN1011" s="84"/>
      <c r="BO1011" s="84"/>
      <c r="BP1011" s="84"/>
      <c r="BQ1011" s="84"/>
      <c r="BR1011" s="84"/>
      <c r="BS1011" s="942"/>
      <c r="BT1011" s="942"/>
      <c r="BU1011" s="942"/>
      <c r="BV1011" s="84"/>
    </row>
    <row r="1012" spans="14:74" ht="14.25">
      <c r="N1012" s="84"/>
      <c r="O1012" s="84"/>
      <c r="P1012" s="84"/>
      <c r="Q1012" s="84"/>
      <c r="R1012" s="84"/>
      <c r="S1012" s="84"/>
      <c r="T1012" s="84"/>
      <c r="U1012" s="84"/>
      <c r="V1012" s="84"/>
      <c r="W1012" s="84"/>
      <c r="Y1012" s="84"/>
      <c r="Z1012" s="84"/>
      <c r="AA1012" s="84"/>
      <c r="AB1012" s="84"/>
      <c r="AC1012" s="84"/>
      <c r="AD1012" s="84"/>
      <c r="AE1012" s="84"/>
      <c r="AF1012" s="84"/>
      <c r="AG1012" s="84"/>
      <c r="AH1012" s="84"/>
      <c r="AI1012" s="84"/>
      <c r="AL1012" s="84"/>
      <c r="AM1012" s="84"/>
      <c r="AN1012" s="84"/>
      <c r="AO1012" s="84"/>
      <c r="AP1012" s="84"/>
      <c r="AQ1012" s="84"/>
      <c r="AR1012" s="84"/>
      <c r="AS1012" s="84"/>
      <c r="AT1012" s="84"/>
      <c r="AU1012" s="84"/>
      <c r="AV1012" s="84"/>
      <c r="AY1012" s="84"/>
      <c r="AZ1012" s="84"/>
      <c r="BA1012" s="84"/>
      <c r="BB1012" s="84"/>
      <c r="BC1012" s="84"/>
      <c r="BD1012" s="84"/>
      <c r="BE1012" s="84"/>
      <c r="BF1012" s="942"/>
      <c r="BG1012" s="942"/>
      <c r="BH1012" s="942"/>
      <c r="BI1012" s="84"/>
      <c r="BL1012" s="84"/>
      <c r="BM1012" s="84"/>
      <c r="BN1012" s="84"/>
      <c r="BO1012" s="84"/>
      <c r="BP1012" s="84"/>
      <c r="BQ1012" s="84"/>
      <c r="BR1012" s="84"/>
      <c r="BS1012" s="942"/>
      <c r="BT1012" s="942"/>
      <c r="BU1012" s="942"/>
      <c r="BV1012" s="84"/>
    </row>
    <row r="1013" spans="14:74" ht="14.25">
      <c r="N1013" s="84"/>
      <c r="O1013" s="84"/>
      <c r="P1013" s="84"/>
      <c r="Q1013" s="84"/>
      <c r="R1013" s="84"/>
      <c r="S1013" s="84"/>
      <c r="T1013" s="84"/>
      <c r="U1013" s="84"/>
      <c r="V1013" s="84"/>
      <c r="W1013" s="84"/>
      <c r="Y1013" s="84"/>
      <c r="Z1013" s="84"/>
      <c r="AA1013" s="84"/>
      <c r="AB1013" s="84"/>
      <c r="AC1013" s="84"/>
      <c r="AD1013" s="84"/>
      <c r="AE1013" s="84"/>
      <c r="AF1013" s="84"/>
      <c r="AG1013" s="84"/>
      <c r="AH1013" s="84"/>
      <c r="AI1013" s="84"/>
      <c r="AL1013" s="84"/>
      <c r="AM1013" s="84"/>
      <c r="AN1013" s="84"/>
      <c r="AO1013" s="84"/>
      <c r="AP1013" s="84"/>
      <c r="AQ1013" s="84"/>
      <c r="AR1013" s="84"/>
      <c r="AS1013" s="84"/>
      <c r="AT1013" s="84"/>
      <c r="AU1013" s="84"/>
      <c r="AV1013" s="84"/>
      <c r="AY1013" s="84"/>
      <c r="AZ1013" s="84"/>
      <c r="BA1013" s="84"/>
      <c r="BB1013" s="84"/>
      <c r="BC1013" s="84"/>
      <c r="BD1013" s="84"/>
      <c r="BE1013" s="84"/>
      <c r="BF1013" s="942"/>
      <c r="BG1013" s="942"/>
      <c r="BH1013" s="942"/>
      <c r="BI1013" s="84"/>
      <c r="BL1013" s="84"/>
      <c r="BM1013" s="84"/>
      <c r="BN1013" s="84"/>
      <c r="BO1013" s="84"/>
      <c r="BP1013" s="84"/>
      <c r="BQ1013" s="84"/>
      <c r="BR1013" s="84"/>
      <c r="BS1013" s="942"/>
      <c r="BT1013" s="942"/>
      <c r="BU1013" s="942"/>
      <c r="BV1013" s="84"/>
    </row>
    <row r="1014" spans="14:74" ht="14.25">
      <c r="N1014" s="84"/>
      <c r="O1014" s="84"/>
      <c r="P1014" s="84"/>
      <c r="Q1014" s="84"/>
      <c r="R1014" s="84"/>
      <c r="S1014" s="84"/>
      <c r="T1014" s="84"/>
      <c r="U1014" s="84"/>
      <c r="V1014" s="84"/>
      <c r="W1014" s="84"/>
      <c r="Y1014" s="84"/>
      <c r="Z1014" s="84"/>
      <c r="AA1014" s="84"/>
      <c r="AB1014" s="84"/>
      <c r="AC1014" s="84"/>
      <c r="AD1014" s="84"/>
      <c r="AE1014" s="84"/>
      <c r="AF1014" s="84"/>
      <c r="AG1014" s="84"/>
      <c r="AH1014" s="84"/>
      <c r="AI1014" s="84"/>
      <c r="AL1014" s="84"/>
      <c r="AM1014" s="84"/>
      <c r="AN1014" s="84"/>
      <c r="AO1014" s="84"/>
      <c r="AP1014" s="84"/>
      <c r="AQ1014" s="84"/>
      <c r="AR1014" s="84"/>
      <c r="AS1014" s="84"/>
      <c r="AT1014" s="84"/>
      <c r="AU1014" s="84"/>
      <c r="AV1014" s="84"/>
      <c r="AY1014" s="84"/>
      <c r="AZ1014" s="84"/>
      <c r="BA1014" s="84"/>
      <c r="BB1014" s="84"/>
      <c r="BC1014" s="84"/>
      <c r="BD1014" s="84"/>
      <c r="BE1014" s="84"/>
      <c r="BF1014" s="942"/>
      <c r="BG1014" s="942"/>
      <c r="BH1014" s="942"/>
      <c r="BI1014" s="84"/>
      <c r="BL1014" s="84"/>
      <c r="BM1014" s="84"/>
      <c r="BN1014" s="84"/>
      <c r="BO1014" s="84"/>
      <c r="BP1014" s="84"/>
      <c r="BQ1014" s="84"/>
      <c r="BR1014" s="84"/>
      <c r="BS1014" s="942"/>
      <c r="BT1014" s="942"/>
      <c r="BU1014" s="942"/>
      <c r="BV1014" s="84"/>
    </row>
    <row r="1015" spans="14:74" ht="14.25">
      <c r="N1015" s="84"/>
      <c r="O1015" s="84"/>
      <c r="P1015" s="84"/>
      <c r="Q1015" s="84"/>
      <c r="R1015" s="84"/>
      <c r="S1015" s="84"/>
      <c r="T1015" s="84"/>
      <c r="U1015" s="84"/>
      <c r="V1015" s="84"/>
      <c r="W1015" s="84"/>
      <c r="Y1015" s="84"/>
      <c r="Z1015" s="84"/>
      <c r="AA1015" s="84"/>
      <c r="AB1015" s="84"/>
      <c r="AC1015" s="84"/>
      <c r="AD1015" s="84"/>
      <c r="AE1015" s="84"/>
      <c r="AF1015" s="84"/>
      <c r="AG1015" s="84"/>
      <c r="AH1015" s="84"/>
      <c r="AI1015" s="84"/>
      <c r="AL1015" s="84"/>
      <c r="AM1015" s="84"/>
      <c r="AN1015" s="84"/>
      <c r="AO1015" s="84"/>
      <c r="AP1015" s="84"/>
      <c r="AQ1015" s="84"/>
      <c r="AR1015" s="84"/>
      <c r="AS1015" s="84"/>
      <c r="AT1015" s="84"/>
      <c r="AU1015" s="84"/>
      <c r="AV1015" s="84"/>
      <c r="AY1015" s="84"/>
      <c r="AZ1015" s="84"/>
      <c r="BA1015" s="84"/>
      <c r="BB1015" s="84"/>
      <c r="BC1015" s="84"/>
      <c r="BD1015" s="84"/>
      <c r="BE1015" s="84"/>
      <c r="BF1015" s="942"/>
      <c r="BG1015" s="942"/>
      <c r="BH1015" s="942"/>
      <c r="BI1015" s="84"/>
      <c r="BL1015" s="84"/>
      <c r="BM1015" s="84"/>
      <c r="BN1015" s="84"/>
      <c r="BO1015" s="84"/>
      <c r="BP1015" s="84"/>
      <c r="BQ1015" s="84"/>
      <c r="BR1015" s="84"/>
      <c r="BS1015" s="942"/>
      <c r="BT1015" s="942"/>
      <c r="BU1015" s="942"/>
      <c r="BV1015" s="84"/>
    </row>
    <row r="1016" spans="14:74" ht="14.25">
      <c r="N1016" s="84"/>
      <c r="O1016" s="84"/>
      <c r="P1016" s="84"/>
      <c r="Q1016" s="84"/>
      <c r="R1016" s="84"/>
      <c r="S1016" s="84"/>
      <c r="T1016" s="84"/>
      <c r="U1016" s="84"/>
      <c r="V1016" s="84"/>
      <c r="W1016" s="84"/>
      <c r="Y1016" s="84"/>
      <c r="Z1016" s="84"/>
      <c r="AA1016" s="84"/>
      <c r="AB1016" s="84"/>
      <c r="AC1016" s="84"/>
      <c r="AD1016" s="84"/>
      <c r="AE1016" s="84"/>
      <c r="AF1016" s="84"/>
      <c r="AG1016" s="84"/>
      <c r="AH1016" s="84"/>
      <c r="AI1016" s="84"/>
      <c r="AL1016" s="84"/>
      <c r="AM1016" s="84"/>
      <c r="AN1016" s="84"/>
      <c r="AO1016" s="84"/>
      <c r="AP1016" s="84"/>
      <c r="AQ1016" s="84"/>
      <c r="AR1016" s="84"/>
      <c r="AS1016" s="84"/>
      <c r="AT1016" s="84"/>
      <c r="AU1016" s="84"/>
      <c r="AV1016" s="84"/>
      <c r="AY1016" s="84"/>
      <c r="AZ1016" s="84"/>
      <c r="BA1016" s="84"/>
      <c r="BB1016" s="84"/>
      <c r="BC1016" s="84"/>
      <c r="BD1016" s="84"/>
      <c r="BE1016" s="84"/>
      <c r="BF1016" s="942"/>
      <c r="BG1016" s="942"/>
      <c r="BH1016" s="942"/>
      <c r="BI1016" s="84"/>
      <c r="BL1016" s="84"/>
      <c r="BM1016" s="84"/>
      <c r="BN1016" s="84"/>
      <c r="BO1016" s="84"/>
      <c r="BP1016" s="84"/>
      <c r="BQ1016" s="84"/>
      <c r="BR1016" s="84"/>
      <c r="BS1016" s="942"/>
      <c r="BT1016" s="942"/>
      <c r="BU1016" s="942"/>
      <c r="BV1016" s="84"/>
    </row>
    <row r="1017" spans="14:74" ht="14.25">
      <c r="N1017" s="84"/>
      <c r="O1017" s="84"/>
      <c r="P1017" s="84"/>
      <c r="Q1017" s="84"/>
      <c r="R1017" s="84"/>
      <c r="S1017" s="84"/>
      <c r="T1017" s="84"/>
      <c r="U1017" s="84"/>
      <c r="V1017" s="84"/>
      <c r="W1017" s="84"/>
      <c r="Y1017" s="84"/>
      <c r="Z1017" s="84"/>
      <c r="AA1017" s="84"/>
      <c r="AB1017" s="84"/>
      <c r="AC1017" s="84"/>
      <c r="AD1017" s="84"/>
      <c r="AE1017" s="84"/>
      <c r="AF1017" s="84"/>
      <c r="AG1017" s="84"/>
      <c r="AH1017" s="84"/>
      <c r="AI1017" s="84"/>
      <c r="AL1017" s="84"/>
      <c r="AM1017" s="84"/>
      <c r="AN1017" s="84"/>
      <c r="AO1017" s="84"/>
      <c r="AP1017" s="84"/>
      <c r="AQ1017" s="84"/>
      <c r="AR1017" s="84"/>
      <c r="AS1017" s="84"/>
      <c r="AT1017" s="84"/>
      <c r="AU1017" s="84"/>
      <c r="AV1017" s="84"/>
      <c r="AY1017" s="84"/>
      <c r="AZ1017" s="84"/>
      <c r="BA1017" s="84"/>
      <c r="BB1017" s="84"/>
      <c r="BC1017" s="84"/>
      <c r="BD1017" s="84"/>
      <c r="BE1017" s="84"/>
      <c r="BF1017" s="942"/>
      <c r="BG1017" s="942"/>
      <c r="BH1017" s="942"/>
      <c r="BI1017" s="84"/>
      <c r="BL1017" s="84"/>
      <c r="BM1017" s="84"/>
      <c r="BN1017" s="84"/>
      <c r="BO1017" s="84"/>
      <c r="BP1017" s="84"/>
      <c r="BQ1017" s="84"/>
      <c r="BR1017" s="84"/>
      <c r="BS1017" s="942"/>
      <c r="BT1017" s="942"/>
      <c r="BU1017" s="942"/>
      <c r="BV1017" s="84"/>
    </row>
    <row r="1018" spans="14:74" ht="14.25">
      <c r="N1018" s="84"/>
      <c r="O1018" s="84"/>
      <c r="P1018" s="84"/>
      <c r="Q1018" s="84"/>
      <c r="R1018" s="84"/>
      <c r="S1018" s="84"/>
      <c r="T1018" s="84"/>
      <c r="U1018" s="84"/>
      <c r="V1018" s="84"/>
      <c r="W1018" s="84"/>
      <c r="Y1018" s="84"/>
      <c r="Z1018" s="84"/>
      <c r="AA1018" s="84"/>
      <c r="AB1018" s="84"/>
      <c r="AC1018" s="84"/>
      <c r="AD1018" s="84"/>
      <c r="AE1018" s="84"/>
      <c r="AF1018" s="84"/>
      <c r="AG1018" s="84"/>
      <c r="AH1018" s="84"/>
      <c r="AI1018" s="84"/>
      <c r="AL1018" s="84"/>
      <c r="AM1018" s="84"/>
      <c r="AN1018" s="84"/>
      <c r="AO1018" s="84"/>
      <c r="AP1018" s="84"/>
      <c r="AQ1018" s="84"/>
      <c r="AR1018" s="84"/>
      <c r="AS1018" s="84"/>
      <c r="AT1018" s="84"/>
      <c r="AU1018" s="84"/>
      <c r="AV1018" s="84"/>
      <c r="AY1018" s="84"/>
      <c r="AZ1018" s="84"/>
      <c r="BA1018" s="84"/>
      <c r="BB1018" s="84"/>
      <c r="BC1018" s="84"/>
      <c r="BD1018" s="84"/>
      <c r="BE1018" s="84"/>
      <c r="BF1018" s="942"/>
      <c r="BG1018" s="942"/>
      <c r="BH1018" s="942"/>
      <c r="BI1018" s="84"/>
      <c r="BL1018" s="84"/>
      <c r="BM1018" s="84"/>
      <c r="BN1018" s="84"/>
      <c r="BO1018" s="84"/>
      <c r="BP1018" s="84"/>
      <c r="BQ1018" s="84"/>
      <c r="BR1018" s="84"/>
      <c r="BS1018" s="942"/>
      <c r="BT1018" s="942"/>
      <c r="BU1018" s="942"/>
      <c r="BV1018" s="84"/>
    </row>
    <row r="1019" spans="14:74" ht="14.25">
      <c r="N1019" s="84"/>
      <c r="O1019" s="84"/>
      <c r="P1019" s="84"/>
      <c r="Q1019" s="84"/>
      <c r="R1019" s="84"/>
      <c r="S1019" s="84"/>
      <c r="T1019" s="84"/>
      <c r="U1019" s="84"/>
      <c r="V1019" s="84"/>
      <c r="W1019" s="84"/>
      <c r="Y1019" s="84"/>
      <c r="Z1019" s="84"/>
      <c r="AA1019" s="84"/>
      <c r="AB1019" s="84"/>
      <c r="AC1019" s="84"/>
      <c r="AD1019" s="84"/>
      <c r="AE1019" s="84"/>
      <c r="AF1019" s="84"/>
      <c r="AG1019" s="84"/>
      <c r="AH1019" s="84"/>
      <c r="AI1019" s="84"/>
      <c r="AL1019" s="84"/>
      <c r="AM1019" s="84"/>
      <c r="AN1019" s="84"/>
      <c r="AO1019" s="84"/>
      <c r="AP1019" s="84"/>
      <c r="AQ1019" s="84"/>
      <c r="AR1019" s="84"/>
      <c r="AS1019" s="84"/>
      <c r="AT1019" s="84"/>
      <c r="AU1019" s="84"/>
      <c r="AV1019" s="84"/>
      <c r="AY1019" s="84"/>
      <c r="AZ1019" s="84"/>
      <c r="BA1019" s="84"/>
      <c r="BB1019" s="84"/>
      <c r="BC1019" s="84"/>
      <c r="BD1019" s="84"/>
      <c r="BE1019" s="84"/>
      <c r="BF1019" s="942"/>
      <c r="BG1019" s="942"/>
      <c r="BH1019" s="942"/>
      <c r="BI1019" s="84"/>
      <c r="BL1019" s="84"/>
      <c r="BM1019" s="84"/>
      <c r="BN1019" s="84"/>
      <c r="BO1019" s="84"/>
      <c r="BP1019" s="84"/>
      <c r="BQ1019" s="84"/>
      <c r="BR1019" s="84"/>
      <c r="BS1019" s="942"/>
      <c r="BT1019" s="942"/>
      <c r="BU1019" s="942"/>
      <c r="BV1019" s="84"/>
    </row>
    <row r="1020" spans="14:74" ht="14.25">
      <c r="N1020" s="84"/>
      <c r="O1020" s="84"/>
      <c r="P1020" s="84"/>
      <c r="Q1020" s="84"/>
      <c r="R1020" s="84"/>
      <c r="S1020" s="84"/>
      <c r="T1020" s="84"/>
      <c r="U1020" s="84"/>
      <c r="V1020" s="84"/>
      <c r="W1020" s="84"/>
      <c r="Y1020" s="84"/>
      <c r="Z1020" s="84"/>
      <c r="AA1020" s="84"/>
      <c r="AB1020" s="84"/>
      <c r="AC1020" s="84"/>
      <c r="AD1020" s="84"/>
      <c r="AE1020" s="84"/>
      <c r="AF1020" s="84"/>
      <c r="AG1020" s="84"/>
      <c r="AH1020" s="84"/>
      <c r="AI1020" s="84"/>
      <c r="AL1020" s="84"/>
      <c r="AM1020" s="84"/>
      <c r="AN1020" s="84"/>
      <c r="AO1020" s="84"/>
      <c r="AP1020" s="84"/>
      <c r="AQ1020" s="84"/>
      <c r="AR1020" s="84"/>
      <c r="AS1020" s="84"/>
      <c r="AT1020" s="84"/>
      <c r="AU1020" s="84"/>
      <c r="AV1020" s="84"/>
      <c r="AY1020" s="84"/>
      <c r="AZ1020" s="84"/>
      <c r="BA1020" s="84"/>
      <c r="BB1020" s="84"/>
      <c r="BC1020" s="84"/>
      <c r="BD1020" s="84"/>
      <c r="BE1020" s="84"/>
      <c r="BF1020" s="942"/>
      <c r="BG1020" s="942"/>
      <c r="BH1020" s="942"/>
      <c r="BI1020" s="84"/>
      <c r="BL1020" s="84"/>
      <c r="BM1020" s="84"/>
      <c r="BN1020" s="84"/>
      <c r="BO1020" s="84"/>
      <c r="BP1020" s="84"/>
      <c r="BQ1020" s="84"/>
      <c r="BR1020" s="84"/>
      <c r="BS1020" s="942"/>
      <c r="BT1020" s="942"/>
      <c r="BU1020" s="942"/>
      <c r="BV1020" s="84"/>
    </row>
    <row r="1021" spans="14:74" ht="14.25">
      <c r="N1021" s="84"/>
      <c r="O1021" s="84"/>
      <c r="P1021" s="84"/>
      <c r="Q1021" s="84"/>
      <c r="R1021" s="84"/>
      <c r="S1021" s="84"/>
      <c r="T1021" s="84"/>
      <c r="U1021" s="84"/>
      <c r="V1021" s="84"/>
      <c r="W1021" s="84"/>
      <c r="Y1021" s="84"/>
      <c r="Z1021" s="84"/>
      <c r="AA1021" s="84"/>
      <c r="AB1021" s="84"/>
      <c r="AC1021" s="84"/>
      <c r="AD1021" s="84"/>
      <c r="AE1021" s="84"/>
      <c r="AF1021" s="84"/>
      <c r="AG1021" s="84"/>
      <c r="AH1021" s="84"/>
      <c r="AI1021" s="84"/>
      <c r="AL1021" s="84"/>
      <c r="AM1021" s="84"/>
      <c r="AN1021" s="84"/>
      <c r="AO1021" s="84"/>
      <c r="AP1021" s="84"/>
      <c r="AQ1021" s="84"/>
      <c r="AR1021" s="84"/>
      <c r="AS1021" s="84"/>
      <c r="AT1021" s="84"/>
      <c r="AU1021" s="84"/>
      <c r="AV1021" s="84"/>
      <c r="AY1021" s="84"/>
      <c r="AZ1021" s="84"/>
      <c r="BA1021" s="84"/>
      <c r="BB1021" s="84"/>
      <c r="BC1021" s="84"/>
      <c r="BD1021" s="84"/>
      <c r="BE1021" s="84"/>
      <c r="BF1021" s="942"/>
      <c r="BG1021" s="942"/>
      <c r="BH1021" s="942"/>
      <c r="BI1021" s="84"/>
      <c r="BL1021" s="84"/>
      <c r="BM1021" s="84"/>
      <c r="BN1021" s="84"/>
      <c r="BO1021" s="84"/>
      <c r="BP1021" s="84"/>
      <c r="BQ1021" s="84"/>
      <c r="BR1021" s="84"/>
      <c r="BS1021" s="942"/>
      <c r="BT1021" s="942"/>
      <c r="BU1021" s="942"/>
      <c r="BV1021" s="84"/>
    </row>
    <row r="1022" spans="14:74" ht="14.25">
      <c r="N1022" s="84"/>
      <c r="O1022" s="84"/>
      <c r="P1022" s="84"/>
      <c r="Q1022" s="84"/>
      <c r="R1022" s="84"/>
      <c r="S1022" s="84"/>
      <c r="T1022" s="84"/>
      <c r="U1022" s="84"/>
      <c r="V1022" s="84"/>
      <c r="W1022" s="84"/>
      <c r="Y1022" s="84"/>
      <c r="Z1022" s="84"/>
      <c r="AA1022" s="84"/>
      <c r="AB1022" s="84"/>
      <c r="AC1022" s="84"/>
      <c r="AD1022" s="84"/>
      <c r="AE1022" s="84"/>
      <c r="AF1022" s="84"/>
      <c r="AG1022" s="84"/>
      <c r="AH1022" s="84"/>
      <c r="AI1022" s="84"/>
      <c r="AL1022" s="84"/>
      <c r="AM1022" s="84"/>
      <c r="AN1022" s="84"/>
      <c r="AO1022" s="84"/>
      <c r="AP1022" s="84"/>
      <c r="AQ1022" s="84"/>
      <c r="AR1022" s="84"/>
      <c r="AS1022" s="84"/>
      <c r="AT1022" s="84"/>
      <c r="AU1022" s="84"/>
      <c r="AV1022" s="84"/>
      <c r="AY1022" s="84"/>
      <c r="AZ1022" s="84"/>
      <c r="BA1022" s="84"/>
      <c r="BB1022" s="84"/>
      <c r="BC1022" s="84"/>
      <c r="BD1022" s="84"/>
      <c r="BE1022" s="84"/>
      <c r="BF1022" s="942"/>
      <c r="BG1022" s="942"/>
      <c r="BH1022" s="942"/>
      <c r="BI1022" s="84"/>
      <c r="BL1022" s="84"/>
      <c r="BM1022" s="84"/>
      <c r="BN1022" s="84"/>
      <c r="BO1022" s="84"/>
      <c r="BP1022" s="84"/>
      <c r="BQ1022" s="84"/>
      <c r="BR1022" s="84"/>
      <c r="BS1022" s="942"/>
      <c r="BT1022" s="942"/>
      <c r="BU1022" s="942"/>
      <c r="BV1022" s="84"/>
    </row>
    <row r="1023" spans="14:74" ht="14.25">
      <c r="N1023" s="84"/>
      <c r="O1023" s="84"/>
      <c r="P1023" s="84"/>
      <c r="Q1023" s="84"/>
      <c r="R1023" s="84"/>
      <c r="S1023" s="84"/>
      <c r="T1023" s="84"/>
      <c r="U1023" s="84"/>
      <c r="V1023" s="84"/>
      <c r="W1023" s="84"/>
      <c r="Y1023" s="84"/>
      <c r="Z1023" s="84"/>
      <c r="AA1023" s="84"/>
      <c r="AB1023" s="84"/>
      <c r="AC1023" s="84"/>
      <c r="AD1023" s="84"/>
      <c r="AE1023" s="84"/>
      <c r="AF1023" s="84"/>
      <c r="AG1023" s="84"/>
      <c r="AH1023" s="84"/>
      <c r="AI1023" s="84"/>
      <c r="AL1023" s="84"/>
      <c r="AM1023" s="84"/>
      <c r="AN1023" s="84"/>
      <c r="AO1023" s="84"/>
      <c r="AP1023" s="84"/>
      <c r="AQ1023" s="84"/>
      <c r="AR1023" s="84"/>
      <c r="AS1023" s="84"/>
      <c r="AT1023" s="84"/>
      <c r="AU1023" s="84"/>
      <c r="AV1023" s="84"/>
      <c r="AY1023" s="84"/>
      <c r="AZ1023" s="84"/>
      <c r="BA1023" s="84"/>
      <c r="BB1023" s="84"/>
      <c r="BC1023" s="84"/>
      <c r="BD1023" s="84"/>
      <c r="BE1023" s="84"/>
      <c r="BF1023" s="942"/>
      <c r="BG1023" s="942"/>
      <c r="BH1023" s="942"/>
      <c r="BI1023" s="84"/>
      <c r="BL1023" s="84"/>
      <c r="BM1023" s="84"/>
      <c r="BN1023" s="84"/>
      <c r="BO1023" s="84"/>
      <c r="BP1023" s="84"/>
      <c r="BQ1023" s="84"/>
      <c r="BR1023" s="84"/>
      <c r="BS1023" s="942"/>
      <c r="BT1023" s="942"/>
      <c r="BU1023" s="942"/>
      <c r="BV1023" s="84"/>
    </row>
    <row r="1024" spans="14:74" ht="14.25">
      <c r="N1024" s="84"/>
      <c r="O1024" s="84"/>
      <c r="P1024" s="84"/>
      <c r="Q1024" s="84"/>
      <c r="R1024" s="84"/>
      <c r="S1024" s="84"/>
      <c r="T1024" s="84"/>
      <c r="U1024" s="84"/>
      <c r="V1024" s="84"/>
      <c r="W1024" s="84"/>
      <c r="Y1024" s="84"/>
      <c r="Z1024" s="84"/>
      <c r="AA1024" s="84"/>
      <c r="AB1024" s="84"/>
      <c r="AC1024" s="84"/>
      <c r="AD1024" s="84"/>
      <c r="AE1024" s="84"/>
      <c r="AF1024" s="84"/>
      <c r="AG1024" s="84"/>
      <c r="AH1024" s="84"/>
      <c r="AI1024" s="84"/>
      <c r="AL1024" s="84"/>
      <c r="AM1024" s="84"/>
      <c r="AN1024" s="84"/>
      <c r="AO1024" s="84"/>
      <c r="AP1024" s="84"/>
      <c r="AQ1024" s="84"/>
      <c r="AR1024" s="84"/>
      <c r="AS1024" s="84"/>
      <c r="AT1024" s="84"/>
      <c r="AU1024" s="84"/>
      <c r="AV1024" s="84"/>
      <c r="AY1024" s="84"/>
      <c r="AZ1024" s="84"/>
      <c r="BA1024" s="84"/>
      <c r="BB1024" s="84"/>
      <c r="BC1024" s="84"/>
      <c r="BD1024" s="84"/>
      <c r="BE1024" s="84"/>
      <c r="BF1024" s="942"/>
      <c r="BG1024" s="942"/>
      <c r="BH1024" s="942"/>
      <c r="BI1024" s="84"/>
      <c r="BL1024" s="84"/>
      <c r="BM1024" s="84"/>
      <c r="BN1024" s="84"/>
      <c r="BO1024" s="84"/>
      <c r="BP1024" s="84"/>
      <c r="BQ1024" s="84"/>
      <c r="BR1024" s="84"/>
      <c r="BS1024" s="942"/>
      <c r="BT1024" s="942"/>
      <c r="BU1024" s="942"/>
      <c r="BV1024" s="84"/>
    </row>
    <row r="1025" spans="14:74" ht="14.25">
      <c r="N1025" s="84"/>
      <c r="O1025" s="84"/>
      <c r="P1025" s="84"/>
      <c r="Q1025" s="84"/>
      <c r="R1025" s="84"/>
      <c r="S1025" s="84"/>
      <c r="T1025" s="84"/>
      <c r="U1025" s="84"/>
      <c r="V1025" s="84"/>
      <c r="W1025" s="84"/>
      <c r="Y1025" s="84"/>
      <c r="Z1025" s="84"/>
      <c r="AA1025" s="84"/>
      <c r="AB1025" s="84"/>
      <c r="AC1025" s="84"/>
      <c r="AD1025" s="84"/>
      <c r="AE1025" s="84"/>
      <c r="AF1025" s="84"/>
      <c r="AG1025" s="84"/>
      <c r="AH1025" s="84"/>
      <c r="AI1025" s="84"/>
      <c r="AL1025" s="84"/>
      <c r="AM1025" s="84"/>
      <c r="AN1025" s="84"/>
      <c r="AO1025" s="84"/>
      <c r="AP1025" s="84"/>
      <c r="AQ1025" s="84"/>
      <c r="AR1025" s="84"/>
      <c r="AS1025" s="84"/>
      <c r="AT1025" s="84"/>
      <c r="AU1025" s="84"/>
      <c r="AV1025" s="84"/>
      <c r="AY1025" s="84"/>
      <c r="AZ1025" s="84"/>
      <c r="BA1025" s="84"/>
      <c r="BB1025" s="84"/>
      <c r="BC1025" s="84"/>
      <c r="BD1025" s="84"/>
      <c r="BE1025" s="84"/>
      <c r="BF1025" s="942"/>
      <c r="BG1025" s="942"/>
      <c r="BH1025" s="942"/>
      <c r="BI1025" s="84"/>
      <c r="BL1025" s="84"/>
      <c r="BM1025" s="84"/>
      <c r="BN1025" s="84"/>
      <c r="BO1025" s="84"/>
      <c r="BP1025" s="84"/>
      <c r="BQ1025" s="84"/>
      <c r="BR1025" s="84"/>
      <c r="BS1025" s="942"/>
      <c r="BT1025" s="942"/>
      <c r="BU1025" s="942"/>
      <c r="BV1025" s="84"/>
    </row>
    <row r="1026" spans="14:74" ht="14.25">
      <c r="N1026" s="84"/>
      <c r="O1026" s="84"/>
      <c r="P1026" s="84"/>
      <c r="Q1026" s="84"/>
      <c r="R1026" s="84"/>
      <c r="S1026" s="84"/>
      <c r="T1026" s="84"/>
      <c r="U1026" s="84"/>
      <c r="V1026" s="84"/>
      <c r="W1026" s="84"/>
      <c r="Y1026" s="84"/>
      <c r="Z1026" s="84"/>
      <c r="AA1026" s="84"/>
      <c r="AB1026" s="84"/>
      <c r="AC1026" s="84"/>
      <c r="AD1026" s="84"/>
      <c r="AE1026" s="84"/>
      <c r="AF1026" s="84"/>
      <c r="AG1026" s="84"/>
      <c r="AH1026" s="84"/>
      <c r="AI1026" s="84"/>
      <c r="AL1026" s="84"/>
      <c r="AM1026" s="84"/>
      <c r="AN1026" s="84"/>
      <c r="AO1026" s="84"/>
      <c r="AP1026" s="84"/>
      <c r="AQ1026" s="84"/>
      <c r="AR1026" s="84"/>
      <c r="AS1026" s="84"/>
      <c r="AT1026" s="84"/>
      <c r="AU1026" s="84"/>
      <c r="AV1026" s="84"/>
      <c r="AY1026" s="84"/>
      <c r="AZ1026" s="84"/>
      <c r="BA1026" s="84"/>
      <c r="BB1026" s="84"/>
      <c r="BC1026" s="84"/>
      <c r="BD1026" s="84"/>
      <c r="BE1026" s="84"/>
      <c r="BF1026" s="942"/>
      <c r="BG1026" s="942"/>
      <c r="BH1026" s="942"/>
      <c r="BI1026" s="84"/>
      <c r="BL1026" s="84"/>
      <c r="BM1026" s="84"/>
      <c r="BN1026" s="84"/>
      <c r="BO1026" s="84"/>
      <c r="BP1026" s="84"/>
      <c r="BQ1026" s="84"/>
      <c r="BR1026" s="84"/>
      <c r="BS1026" s="942"/>
      <c r="BT1026" s="942"/>
      <c r="BU1026" s="942"/>
      <c r="BV1026" s="84"/>
    </row>
    <row r="1027" spans="14:74" ht="14.25">
      <c r="N1027" s="84"/>
      <c r="O1027" s="84"/>
      <c r="P1027" s="84"/>
      <c r="Q1027" s="84"/>
      <c r="R1027" s="84"/>
      <c r="S1027" s="84"/>
      <c r="T1027" s="84"/>
      <c r="U1027" s="84"/>
      <c r="V1027" s="84"/>
      <c r="W1027" s="84"/>
      <c r="Y1027" s="84"/>
      <c r="Z1027" s="84"/>
      <c r="AA1027" s="84"/>
      <c r="AB1027" s="84"/>
      <c r="AC1027" s="84"/>
      <c r="AD1027" s="84"/>
      <c r="AE1027" s="84"/>
      <c r="AF1027" s="84"/>
      <c r="AG1027" s="84"/>
      <c r="AH1027" s="84"/>
      <c r="AI1027" s="84"/>
      <c r="AL1027" s="84"/>
      <c r="AM1027" s="84"/>
      <c r="AN1027" s="84"/>
      <c r="AO1027" s="84"/>
      <c r="AP1027" s="84"/>
      <c r="AQ1027" s="84"/>
      <c r="AR1027" s="84"/>
      <c r="AS1027" s="84"/>
      <c r="AT1027" s="84"/>
      <c r="AU1027" s="84"/>
      <c r="AV1027" s="84"/>
      <c r="AY1027" s="84"/>
      <c r="AZ1027" s="84"/>
      <c r="BA1027" s="84"/>
      <c r="BB1027" s="84"/>
      <c r="BC1027" s="84"/>
      <c r="BD1027" s="84"/>
      <c r="BE1027" s="84"/>
      <c r="BF1027" s="942"/>
      <c r="BG1027" s="942"/>
      <c r="BH1027" s="942"/>
      <c r="BI1027" s="84"/>
      <c r="BL1027" s="84"/>
      <c r="BM1027" s="84"/>
      <c r="BN1027" s="84"/>
      <c r="BO1027" s="84"/>
      <c r="BP1027" s="84"/>
      <c r="BQ1027" s="84"/>
      <c r="BR1027" s="84"/>
      <c r="BS1027" s="942"/>
      <c r="BT1027" s="942"/>
      <c r="BU1027" s="942"/>
      <c r="BV1027" s="84"/>
    </row>
    <row r="1028" spans="14:74" ht="14.25">
      <c r="N1028" s="84"/>
      <c r="O1028" s="84"/>
      <c r="P1028" s="84"/>
      <c r="Q1028" s="84"/>
      <c r="R1028" s="84"/>
      <c r="S1028" s="84"/>
      <c r="T1028" s="84"/>
      <c r="U1028" s="84"/>
      <c r="V1028" s="84"/>
      <c r="W1028" s="84"/>
      <c r="Y1028" s="84"/>
      <c r="Z1028" s="84"/>
      <c r="AA1028" s="84"/>
      <c r="AB1028" s="84"/>
      <c r="AC1028" s="84"/>
      <c r="AD1028" s="84"/>
      <c r="AE1028" s="84"/>
      <c r="AF1028" s="84"/>
      <c r="AG1028" s="84"/>
      <c r="AH1028" s="84"/>
      <c r="AI1028" s="84"/>
      <c r="AL1028" s="84"/>
      <c r="AM1028" s="84"/>
      <c r="AN1028" s="84"/>
      <c r="AO1028" s="84"/>
      <c r="AP1028" s="84"/>
      <c r="AQ1028" s="84"/>
      <c r="AR1028" s="84"/>
      <c r="AS1028" s="84"/>
      <c r="AT1028" s="84"/>
      <c r="AU1028" s="84"/>
      <c r="AV1028" s="84"/>
      <c r="AY1028" s="84"/>
      <c r="AZ1028" s="84"/>
      <c r="BA1028" s="84"/>
      <c r="BB1028" s="84"/>
      <c r="BC1028" s="84"/>
      <c r="BD1028" s="84"/>
      <c r="BE1028" s="84"/>
      <c r="BF1028" s="942"/>
      <c r="BG1028" s="942"/>
      <c r="BH1028" s="942"/>
      <c r="BI1028" s="84"/>
      <c r="BL1028" s="84"/>
      <c r="BM1028" s="84"/>
      <c r="BN1028" s="84"/>
      <c r="BO1028" s="84"/>
      <c r="BP1028" s="84"/>
      <c r="BQ1028" s="84"/>
      <c r="BR1028" s="84"/>
      <c r="BS1028" s="942"/>
      <c r="BT1028" s="942"/>
      <c r="BU1028" s="942"/>
      <c r="BV1028" s="84"/>
    </row>
    <row r="1029" spans="14:74" ht="14.25">
      <c r="N1029" s="84"/>
      <c r="O1029" s="84"/>
      <c r="P1029" s="84"/>
      <c r="Q1029" s="84"/>
      <c r="R1029" s="84"/>
      <c r="S1029" s="84"/>
      <c r="T1029" s="84"/>
      <c r="U1029" s="84"/>
      <c r="V1029" s="84"/>
      <c r="W1029" s="84"/>
      <c r="Y1029" s="84"/>
      <c r="Z1029" s="84"/>
      <c r="AA1029" s="84"/>
      <c r="AB1029" s="84"/>
      <c r="AC1029" s="84"/>
      <c r="AD1029" s="84"/>
      <c r="AE1029" s="84"/>
      <c r="AF1029" s="84"/>
      <c r="AG1029" s="84"/>
      <c r="AH1029" s="84"/>
      <c r="AI1029" s="84"/>
      <c r="AL1029" s="84"/>
      <c r="AM1029" s="84"/>
      <c r="AN1029" s="84"/>
      <c r="AO1029" s="84"/>
      <c r="AP1029" s="84"/>
      <c r="AQ1029" s="84"/>
      <c r="AR1029" s="84"/>
      <c r="AS1029" s="84"/>
      <c r="AT1029" s="84"/>
      <c r="AU1029" s="84"/>
      <c r="AV1029" s="84"/>
      <c r="AY1029" s="84"/>
      <c r="AZ1029" s="84"/>
      <c r="BA1029" s="84"/>
      <c r="BB1029" s="84"/>
      <c r="BC1029" s="84"/>
      <c r="BD1029" s="84"/>
      <c r="BE1029" s="84"/>
      <c r="BF1029" s="942"/>
      <c r="BG1029" s="942"/>
      <c r="BH1029" s="942"/>
      <c r="BI1029" s="84"/>
      <c r="BL1029" s="84"/>
      <c r="BM1029" s="84"/>
      <c r="BN1029" s="84"/>
      <c r="BO1029" s="84"/>
      <c r="BP1029" s="84"/>
      <c r="BQ1029" s="84"/>
      <c r="BR1029" s="84"/>
      <c r="BS1029" s="942"/>
      <c r="BT1029" s="942"/>
      <c r="BU1029" s="942"/>
      <c r="BV1029" s="84"/>
    </row>
    <row r="1030" spans="14:74" ht="14.25">
      <c r="N1030" s="84"/>
      <c r="O1030" s="84"/>
      <c r="P1030" s="84"/>
      <c r="Q1030" s="84"/>
      <c r="R1030" s="84"/>
      <c r="S1030" s="84"/>
      <c r="T1030" s="84"/>
      <c r="U1030" s="84"/>
      <c r="V1030" s="84"/>
      <c r="W1030" s="84"/>
      <c r="Y1030" s="84"/>
      <c r="Z1030" s="84"/>
      <c r="AA1030" s="84"/>
      <c r="AB1030" s="84"/>
      <c r="AC1030" s="84"/>
      <c r="AD1030" s="84"/>
      <c r="AE1030" s="84"/>
      <c r="AF1030" s="84"/>
      <c r="AG1030" s="84"/>
      <c r="AH1030" s="84"/>
      <c r="AI1030" s="84"/>
      <c r="AL1030" s="84"/>
      <c r="AM1030" s="84"/>
      <c r="AN1030" s="84"/>
      <c r="AO1030" s="84"/>
      <c r="AP1030" s="84"/>
      <c r="AQ1030" s="84"/>
      <c r="AR1030" s="84"/>
      <c r="AS1030" s="84"/>
      <c r="AT1030" s="84"/>
      <c r="AU1030" s="84"/>
      <c r="AV1030" s="84"/>
      <c r="AY1030" s="84"/>
      <c r="AZ1030" s="84"/>
      <c r="BA1030" s="84"/>
      <c r="BB1030" s="84"/>
      <c r="BC1030" s="84"/>
      <c r="BD1030" s="84"/>
      <c r="BE1030" s="84"/>
      <c r="BF1030" s="942"/>
      <c r="BG1030" s="942"/>
      <c r="BH1030" s="942"/>
      <c r="BI1030" s="84"/>
      <c r="BL1030" s="84"/>
      <c r="BM1030" s="84"/>
      <c r="BN1030" s="84"/>
      <c r="BO1030" s="84"/>
      <c r="BP1030" s="84"/>
      <c r="BQ1030" s="84"/>
      <c r="BR1030" s="84"/>
      <c r="BS1030" s="942"/>
      <c r="BT1030" s="942"/>
      <c r="BU1030" s="942"/>
      <c r="BV1030" s="84"/>
    </row>
    <row r="1031" spans="14:74" ht="14.25">
      <c r="N1031" s="84"/>
      <c r="O1031" s="84"/>
      <c r="P1031" s="84"/>
      <c r="Q1031" s="84"/>
      <c r="R1031" s="84"/>
      <c r="S1031" s="84"/>
      <c r="T1031" s="84"/>
      <c r="U1031" s="84"/>
      <c r="V1031" s="84"/>
      <c r="W1031" s="84"/>
      <c r="Y1031" s="84"/>
      <c r="Z1031" s="84"/>
      <c r="AA1031" s="84"/>
      <c r="AB1031" s="84"/>
      <c r="AC1031" s="84"/>
      <c r="AD1031" s="84"/>
      <c r="AE1031" s="84"/>
      <c r="AF1031" s="84"/>
      <c r="AG1031" s="84"/>
      <c r="AH1031" s="84"/>
      <c r="AI1031" s="84"/>
      <c r="AL1031" s="84"/>
      <c r="AM1031" s="84"/>
      <c r="AN1031" s="84"/>
      <c r="AO1031" s="84"/>
      <c r="AP1031" s="84"/>
      <c r="AQ1031" s="84"/>
      <c r="AR1031" s="84"/>
      <c r="AS1031" s="84"/>
      <c r="AT1031" s="84"/>
      <c r="AU1031" s="84"/>
      <c r="AV1031" s="84"/>
      <c r="AY1031" s="84"/>
      <c r="AZ1031" s="84"/>
      <c r="BA1031" s="84"/>
      <c r="BB1031" s="84"/>
      <c r="BC1031" s="84"/>
      <c r="BD1031" s="84"/>
      <c r="BE1031" s="84"/>
      <c r="BF1031" s="942"/>
      <c r="BG1031" s="942"/>
      <c r="BH1031" s="942"/>
      <c r="BI1031" s="84"/>
      <c r="BL1031" s="84"/>
      <c r="BM1031" s="84"/>
      <c r="BN1031" s="84"/>
      <c r="BO1031" s="84"/>
      <c r="BP1031" s="84"/>
      <c r="BQ1031" s="84"/>
      <c r="BR1031" s="84"/>
      <c r="BS1031" s="942"/>
      <c r="BT1031" s="942"/>
      <c r="BU1031" s="942"/>
      <c r="BV1031" s="84"/>
    </row>
    <row r="1032" spans="14:74" ht="14.25">
      <c r="N1032" s="84"/>
      <c r="O1032" s="84"/>
      <c r="P1032" s="84"/>
      <c r="Q1032" s="84"/>
      <c r="R1032" s="84"/>
      <c r="S1032" s="84"/>
      <c r="T1032" s="84"/>
      <c r="U1032" s="84"/>
      <c r="V1032" s="84"/>
      <c r="W1032" s="84"/>
      <c r="Y1032" s="84"/>
      <c r="Z1032" s="84"/>
      <c r="AA1032" s="84"/>
      <c r="AB1032" s="84"/>
      <c r="AC1032" s="84"/>
      <c r="AD1032" s="84"/>
      <c r="AE1032" s="84"/>
      <c r="AF1032" s="84"/>
      <c r="AG1032" s="84"/>
      <c r="AH1032" s="84"/>
      <c r="AI1032" s="84"/>
      <c r="AL1032" s="84"/>
      <c r="AM1032" s="84"/>
      <c r="AN1032" s="84"/>
      <c r="AO1032" s="84"/>
      <c r="AP1032" s="84"/>
      <c r="AQ1032" s="84"/>
      <c r="AR1032" s="84"/>
      <c r="AS1032" s="84"/>
      <c r="AT1032" s="84"/>
      <c r="AU1032" s="84"/>
      <c r="AV1032" s="84"/>
      <c r="AY1032" s="84"/>
      <c r="AZ1032" s="84"/>
      <c r="BA1032" s="84"/>
      <c r="BB1032" s="84"/>
      <c r="BC1032" s="84"/>
      <c r="BD1032" s="84"/>
      <c r="BE1032" s="84"/>
      <c r="BF1032" s="942"/>
      <c r="BG1032" s="942"/>
      <c r="BH1032" s="942"/>
      <c r="BI1032" s="84"/>
      <c r="BL1032" s="84"/>
      <c r="BM1032" s="84"/>
      <c r="BN1032" s="84"/>
      <c r="BO1032" s="84"/>
      <c r="BP1032" s="84"/>
      <c r="BQ1032" s="84"/>
      <c r="BR1032" s="84"/>
      <c r="BS1032" s="942"/>
      <c r="BT1032" s="942"/>
      <c r="BU1032" s="942"/>
      <c r="BV1032" s="84"/>
    </row>
    <row r="1033" spans="14:74" ht="14.25">
      <c r="N1033" s="84"/>
      <c r="O1033" s="84"/>
      <c r="P1033" s="84"/>
      <c r="Q1033" s="84"/>
      <c r="R1033" s="84"/>
      <c r="S1033" s="84"/>
      <c r="T1033" s="84"/>
      <c r="U1033" s="84"/>
      <c r="V1033" s="84"/>
      <c r="W1033" s="84"/>
      <c r="Y1033" s="84"/>
      <c r="Z1033" s="84"/>
      <c r="AA1033" s="84"/>
      <c r="AB1033" s="84"/>
      <c r="AC1033" s="84"/>
      <c r="AD1033" s="84"/>
      <c r="AE1033" s="84"/>
      <c r="AF1033" s="84"/>
      <c r="AG1033" s="84"/>
      <c r="AH1033" s="84"/>
      <c r="AI1033" s="84"/>
      <c r="AL1033" s="84"/>
      <c r="AM1033" s="84"/>
      <c r="AN1033" s="84"/>
      <c r="AO1033" s="84"/>
      <c r="AP1033" s="84"/>
      <c r="AQ1033" s="84"/>
      <c r="AR1033" s="84"/>
      <c r="AS1033" s="84"/>
      <c r="AT1033" s="84"/>
      <c r="AU1033" s="84"/>
      <c r="AV1033" s="84"/>
      <c r="AY1033" s="84"/>
      <c r="AZ1033" s="84"/>
      <c r="BA1033" s="84"/>
      <c r="BB1033" s="84"/>
      <c r="BC1033" s="84"/>
      <c r="BD1033" s="84"/>
      <c r="BE1033" s="84"/>
      <c r="BF1033" s="942"/>
      <c r="BG1033" s="942"/>
      <c r="BH1033" s="942"/>
      <c r="BI1033" s="84"/>
      <c r="BL1033" s="84"/>
      <c r="BM1033" s="84"/>
      <c r="BN1033" s="84"/>
      <c r="BO1033" s="84"/>
      <c r="BP1033" s="84"/>
      <c r="BQ1033" s="84"/>
      <c r="BR1033" s="84"/>
      <c r="BS1033" s="942"/>
      <c r="BT1033" s="942"/>
      <c r="BU1033" s="942"/>
      <c r="BV1033" s="84"/>
    </row>
    <row r="1034" spans="14:74" ht="14.25">
      <c r="N1034" s="84"/>
      <c r="O1034" s="84"/>
      <c r="P1034" s="84"/>
      <c r="Q1034" s="84"/>
      <c r="R1034" s="84"/>
      <c r="S1034" s="84"/>
      <c r="T1034" s="84"/>
      <c r="U1034" s="84"/>
      <c r="V1034" s="84"/>
      <c r="W1034" s="84"/>
      <c r="Y1034" s="84"/>
      <c r="Z1034" s="84"/>
      <c r="AA1034" s="84"/>
      <c r="AB1034" s="84"/>
      <c r="AC1034" s="84"/>
      <c r="AD1034" s="84"/>
      <c r="AE1034" s="84"/>
      <c r="AF1034" s="84"/>
      <c r="AG1034" s="84"/>
      <c r="AH1034" s="84"/>
      <c r="AI1034" s="84"/>
      <c r="AL1034" s="84"/>
      <c r="AM1034" s="84"/>
      <c r="AN1034" s="84"/>
      <c r="AO1034" s="84"/>
      <c r="AP1034" s="84"/>
      <c r="AQ1034" s="84"/>
      <c r="AR1034" s="84"/>
      <c r="AS1034" s="84"/>
      <c r="AT1034" s="84"/>
      <c r="AU1034" s="84"/>
      <c r="AV1034" s="84"/>
      <c r="AY1034" s="84"/>
      <c r="AZ1034" s="84"/>
      <c r="BA1034" s="84"/>
      <c r="BB1034" s="84"/>
      <c r="BC1034" s="84"/>
      <c r="BD1034" s="84"/>
      <c r="BE1034" s="84"/>
      <c r="BF1034" s="942"/>
      <c r="BG1034" s="942"/>
      <c r="BH1034" s="942"/>
      <c r="BI1034" s="84"/>
      <c r="BL1034" s="84"/>
      <c r="BM1034" s="84"/>
      <c r="BN1034" s="84"/>
      <c r="BO1034" s="84"/>
      <c r="BP1034" s="84"/>
      <c r="BQ1034" s="84"/>
      <c r="BR1034" s="84"/>
      <c r="BS1034" s="942"/>
      <c r="BT1034" s="942"/>
      <c r="BU1034" s="942"/>
      <c r="BV1034" s="84"/>
    </row>
    <row r="1035" spans="14:74" ht="14.25">
      <c r="N1035" s="84"/>
      <c r="O1035" s="84"/>
      <c r="P1035" s="84"/>
      <c r="Q1035" s="84"/>
      <c r="R1035" s="84"/>
      <c r="S1035" s="84"/>
      <c r="T1035" s="84"/>
      <c r="U1035" s="84"/>
      <c r="V1035" s="84"/>
      <c r="W1035" s="84"/>
      <c r="Y1035" s="84"/>
      <c r="Z1035" s="84"/>
      <c r="AA1035" s="84"/>
      <c r="AB1035" s="84"/>
      <c r="AC1035" s="84"/>
      <c r="AD1035" s="84"/>
      <c r="AE1035" s="84"/>
      <c r="AF1035" s="84"/>
      <c r="AG1035" s="84"/>
      <c r="AH1035" s="84"/>
      <c r="AI1035" s="84"/>
      <c r="AL1035" s="84"/>
      <c r="AM1035" s="84"/>
      <c r="AN1035" s="84"/>
      <c r="AO1035" s="84"/>
      <c r="AP1035" s="84"/>
      <c r="AQ1035" s="84"/>
      <c r="AR1035" s="84"/>
      <c r="AS1035" s="84"/>
      <c r="AT1035" s="84"/>
      <c r="AU1035" s="84"/>
      <c r="AV1035" s="84"/>
      <c r="AY1035" s="84"/>
      <c r="AZ1035" s="84"/>
      <c r="BA1035" s="84"/>
      <c r="BB1035" s="84"/>
      <c r="BC1035" s="84"/>
      <c r="BD1035" s="84"/>
      <c r="BE1035" s="84"/>
      <c r="BF1035" s="942"/>
      <c r="BG1035" s="942"/>
      <c r="BH1035" s="942"/>
      <c r="BI1035" s="84"/>
      <c r="BL1035" s="84"/>
      <c r="BM1035" s="84"/>
      <c r="BN1035" s="84"/>
      <c r="BO1035" s="84"/>
      <c r="BP1035" s="84"/>
      <c r="BQ1035" s="84"/>
      <c r="BR1035" s="84"/>
      <c r="BS1035" s="942"/>
      <c r="BT1035" s="942"/>
      <c r="BU1035" s="942"/>
      <c r="BV1035" s="84"/>
    </row>
    <row r="1036" spans="14:74" ht="14.25">
      <c r="N1036" s="84"/>
      <c r="O1036" s="84"/>
      <c r="P1036" s="84"/>
      <c r="Q1036" s="84"/>
      <c r="R1036" s="84"/>
      <c r="S1036" s="84"/>
      <c r="T1036" s="84"/>
      <c r="U1036" s="84"/>
      <c r="V1036" s="84"/>
      <c r="W1036" s="84"/>
      <c r="Y1036" s="84"/>
      <c r="Z1036" s="84"/>
      <c r="AA1036" s="84"/>
      <c r="AB1036" s="84"/>
      <c r="AC1036" s="84"/>
      <c r="AD1036" s="84"/>
      <c r="AE1036" s="84"/>
      <c r="AF1036" s="84"/>
      <c r="AG1036" s="84"/>
      <c r="AH1036" s="84"/>
      <c r="AI1036" s="84"/>
      <c r="AL1036" s="84"/>
      <c r="AM1036" s="84"/>
      <c r="AN1036" s="84"/>
      <c r="AO1036" s="84"/>
      <c r="AP1036" s="84"/>
      <c r="AQ1036" s="84"/>
      <c r="AR1036" s="84"/>
      <c r="AS1036" s="84"/>
      <c r="AT1036" s="84"/>
      <c r="AU1036" s="84"/>
      <c r="AV1036" s="84"/>
      <c r="AY1036" s="84"/>
      <c r="AZ1036" s="84"/>
      <c r="BA1036" s="84"/>
      <c r="BB1036" s="84"/>
      <c r="BC1036" s="84"/>
      <c r="BD1036" s="84"/>
      <c r="BE1036" s="84"/>
      <c r="BF1036" s="942"/>
      <c r="BG1036" s="942"/>
      <c r="BH1036" s="942"/>
      <c r="BI1036" s="84"/>
      <c r="BL1036" s="84"/>
      <c r="BM1036" s="84"/>
      <c r="BN1036" s="84"/>
      <c r="BO1036" s="84"/>
      <c r="BP1036" s="84"/>
      <c r="BQ1036" s="84"/>
      <c r="BR1036" s="84"/>
      <c r="BS1036" s="942"/>
      <c r="BT1036" s="942"/>
      <c r="BU1036" s="942"/>
      <c r="BV1036" s="84"/>
    </row>
    <row r="1037" spans="14:74" ht="14.25">
      <c r="N1037" s="84"/>
      <c r="O1037" s="84"/>
      <c r="P1037" s="84"/>
      <c r="Q1037" s="84"/>
      <c r="R1037" s="84"/>
      <c r="S1037" s="84"/>
      <c r="T1037" s="84"/>
      <c r="U1037" s="84"/>
      <c r="V1037" s="84"/>
      <c r="W1037" s="84"/>
      <c r="Y1037" s="84"/>
      <c r="Z1037" s="84"/>
      <c r="AA1037" s="84"/>
      <c r="AB1037" s="84"/>
      <c r="AC1037" s="84"/>
      <c r="AD1037" s="84"/>
      <c r="AE1037" s="84"/>
      <c r="AF1037" s="84"/>
      <c r="AG1037" s="84"/>
      <c r="AH1037" s="84"/>
      <c r="AI1037" s="84"/>
      <c r="AL1037" s="84"/>
      <c r="AM1037" s="84"/>
      <c r="AN1037" s="84"/>
      <c r="AO1037" s="84"/>
      <c r="AP1037" s="84"/>
      <c r="AQ1037" s="84"/>
      <c r="AR1037" s="84"/>
      <c r="AS1037" s="84"/>
      <c r="AT1037" s="84"/>
      <c r="AU1037" s="84"/>
      <c r="AV1037" s="84"/>
      <c r="AY1037" s="84"/>
      <c r="AZ1037" s="84"/>
      <c r="BA1037" s="84"/>
      <c r="BB1037" s="84"/>
      <c r="BC1037" s="84"/>
      <c r="BD1037" s="84"/>
      <c r="BE1037" s="84"/>
      <c r="BF1037" s="942"/>
      <c r="BG1037" s="942"/>
      <c r="BH1037" s="942"/>
      <c r="BI1037" s="84"/>
      <c r="BL1037" s="84"/>
      <c r="BM1037" s="84"/>
      <c r="BN1037" s="84"/>
      <c r="BO1037" s="84"/>
      <c r="BP1037" s="84"/>
      <c r="BQ1037" s="84"/>
      <c r="BR1037" s="84"/>
      <c r="BS1037" s="942"/>
      <c r="BT1037" s="942"/>
      <c r="BU1037" s="942"/>
      <c r="BV1037" s="84"/>
    </row>
    <row r="1038" spans="14:74" ht="14.25">
      <c r="N1038" s="84"/>
      <c r="O1038" s="84"/>
      <c r="P1038" s="84"/>
      <c r="Q1038" s="84"/>
      <c r="R1038" s="84"/>
      <c r="S1038" s="84"/>
      <c r="T1038" s="84"/>
      <c r="U1038" s="84"/>
      <c r="V1038" s="84"/>
      <c r="W1038" s="84"/>
      <c r="Y1038" s="84"/>
      <c r="Z1038" s="84"/>
      <c r="AA1038" s="84"/>
      <c r="AB1038" s="84"/>
      <c r="AC1038" s="84"/>
      <c r="AD1038" s="84"/>
      <c r="AE1038" s="84"/>
      <c r="AF1038" s="84"/>
      <c r="AG1038" s="84"/>
      <c r="AH1038" s="84"/>
      <c r="AI1038" s="84"/>
      <c r="AL1038" s="84"/>
      <c r="AM1038" s="84"/>
      <c r="AN1038" s="84"/>
      <c r="AO1038" s="84"/>
      <c r="AP1038" s="84"/>
      <c r="AQ1038" s="84"/>
      <c r="AR1038" s="84"/>
      <c r="AS1038" s="84"/>
      <c r="AT1038" s="84"/>
      <c r="AU1038" s="84"/>
      <c r="AV1038" s="84"/>
      <c r="AY1038" s="84"/>
      <c r="AZ1038" s="84"/>
      <c r="BA1038" s="84"/>
      <c r="BB1038" s="84"/>
      <c r="BC1038" s="84"/>
      <c r="BD1038" s="84"/>
      <c r="BE1038" s="84"/>
      <c r="BF1038" s="942"/>
      <c r="BG1038" s="942"/>
      <c r="BH1038" s="942"/>
      <c r="BI1038" s="84"/>
      <c r="BL1038" s="84"/>
      <c r="BM1038" s="84"/>
      <c r="BN1038" s="84"/>
      <c r="BO1038" s="84"/>
      <c r="BP1038" s="84"/>
      <c r="BQ1038" s="84"/>
      <c r="BR1038" s="84"/>
      <c r="BS1038" s="942"/>
      <c r="BT1038" s="942"/>
      <c r="BU1038" s="942"/>
      <c r="BV1038" s="84"/>
    </row>
    <row r="1039" spans="14:74" ht="14.25">
      <c r="N1039" s="84"/>
      <c r="O1039" s="84"/>
      <c r="P1039" s="84"/>
      <c r="Q1039" s="84"/>
      <c r="R1039" s="84"/>
      <c r="S1039" s="84"/>
      <c r="T1039" s="84"/>
      <c r="U1039" s="84"/>
      <c r="V1039" s="84"/>
      <c r="W1039" s="84"/>
      <c r="Y1039" s="84"/>
      <c r="Z1039" s="84"/>
      <c r="AA1039" s="84"/>
      <c r="AB1039" s="84"/>
      <c r="AC1039" s="84"/>
      <c r="AD1039" s="84"/>
      <c r="AE1039" s="84"/>
      <c r="AF1039" s="84"/>
      <c r="AG1039" s="84"/>
      <c r="AH1039" s="84"/>
      <c r="AI1039" s="84"/>
      <c r="AL1039" s="84"/>
      <c r="AM1039" s="84"/>
      <c r="AN1039" s="84"/>
      <c r="AO1039" s="84"/>
      <c r="AP1039" s="84"/>
      <c r="AQ1039" s="84"/>
      <c r="AR1039" s="84"/>
      <c r="AS1039" s="84"/>
      <c r="AT1039" s="84"/>
      <c r="AU1039" s="84"/>
      <c r="AV1039" s="84"/>
      <c r="AY1039" s="84"/>
      <c r="AZ1039" s="84"/>
      <c r="BA1039" s="84"/>
      <c r="BB1039" s="84"/>
      <c r="BC1039" s="84"/>
      <c r="BD1039" s="84"/>
      <c r="BE1039" s="84"/>
      <c r="BF1039" s="942"/>
      <c r="BG1039" s="942"/>
      <c r="BH1039" s="942"/>
      <c r="BI1039" s="84"/>
      <c r="BL1039" s="84"/>
      <c r="BM1039" s="84"/>
      <c r="BN1039" s="84"/>
      <c r="BO1039" s="84"/>
      <c r="BP1039" s="84"/>
      <c r="BQ1039" s="84"/>
      <c r="BR1039" s="84"/>
      <c r="BS1039" s="942"/>
      <c r="BT1039" s="942"/>
      <c r="BU1039" s="942"/>
      <c r="BV1039" s="84"/>
    </row>
    <row r="1040" spans="14:74" ht="14.25">
      <c r="N1040" s="84"/>
      <c r="O1040" s="84"/>
      <c r="P1040" s="84"/>
      <c r="Q1040" s="84"/>
      <c r="R1040" s="84"/>
      <c r="S1040" s="84"/>
      <c r="T1040" s="84"/>
      <c r="U1040" s="84"/>
      <c r="V1040" s="84"/>
      <c r="W1040" s="84"/>
      <c r="Y1040" s="84"/>
      <c r="Z1040" s="84"/>
      <c r="AA1040" s="84"/>
      <c r="AB1040" s="84"/>
      <c r="AC1040" s="84"/>
      <c r="AD1040" s="84"/>
      <c r="AE1040" s="84"/>
      <c r="AF1040" s="84"/>
      <c r="AG1040" s="84"/>
      <c r="AH1040" s="84"/>
      <c r="AI1040" s="84"/>
      <c r="AL1040" s="84"/>
      <c r="AM1040" s="84"/>
      <c r="AN1040" s="84"/>
      <c r="AO1040" s="84"/>
      <c r="AP1040" s="84"/>
      <c r="AQ1040" s="84"/>
      <c r="AR1040" s="84"/>
      <c r="AS1040" s="84"/>
      <c r="AT1040" s="84"/>
      <c r="AU1040" s="84"/>
      <c r="AV1040" s="84"/>
      <c r="AY1040" s="84"/>
      <c r="AZ1040" s="84"/>
      <c r="BA1040" s="84"/>
      <c r="BB1040" s="84"/>
      <c r="BC1040" s="84"/>
      <c r="BD1040" s="84"/>
      <c r="BE1040" s="84"/>
      <c r="BF1040" s="942"/>
      <c r="BG1040" s="942"/>
      <c r="BH1040" s="942"/>
      <c r="BI1040" s="84"/>
      <c r="BL1040" s="84"/>
      <c r="BM1040" s="84"/>
      <c r="BN1040" s="84"/>
      <c r="BO1040" s="84"/>
      <c r="BP1040" s="84"/>
      <c r="BQ1040" s="84"/>
      <c r="BR1040" s="84"/>
      <c r="BS1040" s="942"/>
      <c r="BT1040" s="942"/>
      <c r="BU1040" s="942"/>
      <c r="BV1040" s="84"/>
    </row>
    <row r="1041" spans="14:74" ht="14.25">
      <c r="N1041" s="84"/>
      <c r="O1041" s="84"/>
      <c r="P1041" s="84"/>
      <c r="Q1041" s="84"/>
      <c r="R1041" s="84"/>
      <c r="S1041" s="84"/>
      <c r="T1041" s="84"/>
      <c r="U1041" s="84"/>
      <c r="V1041" s="84"/>
      <c r="W1041" s="84"/>
      <c r="Y1041" s="84"/>
      <c r="Z1041" s="84"/>
      <c r="AA1041" s="84"/>
      <c r="AB1041" s="84"/>
      <c r="AC1041" s="84"/>
      <c r="AD1041" s="84"/>
      <c r="AE1041" s="84"/>
      <c r="AF1041" s="84"/>
      <c r="AG1041" s="84"/>
      <c r="AH1041" s="84"/>
      <c r="AI1041" s="84"/>
      <c r="AL1041" s="84"/>
      <c r="AM1041" s="84"/>
      <c r="AN1041" s="84"/>
      <c r="AO1041" s="84"/>
      <c r="AP1041" s="84"/>
      <c r="AQ1041" s="84"/>
      <c r="AR1041" s="84"/>
      <c r="AS1041" s="84"/>
      <c r="AT1041" s="84"/>
      <c r="AU1041" s="84"/>
      <c r="AV1041" s="84"/>
      <c r="AY1041" s="84"/>
      <c r="AZ1041" s="84"/>
      <c r="BA1041" s="84"/>
      <c r="BB1041" s="84"/>
      <c r="BC1041" s="84"/>
      <c r="BD1041" s="84"/>
      <c r="BE1041" s="84"/>
      <c r="BF1041" s="942"/>
      <c r="BG1041" s="942"/>
      <c r="BH1041" s="942"/>
      <c r="BI1041" s="84"/>
      <c r="BL1041" s="84"/>
      <c r="BM1041" s="84"/>
      <c r="BN1041" s="84"/>
      <c r="BO1041" s="84"/>
      <c r="BP1041" s="84"/>
      <c r="BQ1041" s="84"/>
      <c r="BR1041" s="84"/>
      <c r="BS1041" s="942"/>
      <c r="BT1041" s="942"/>
      <c r="BU1041" s="942"/>
      <c r="BV1041" s="84"/>
    </row>
    <row r="1042" spans="14:74" ht="14.25">
      <c r="N1042" s="84"/>
      <c r="O1042" s="84"/>
      <c r="P1042" s="84"/>
      <c r="Q1042" s="84"/>
      <c r="R1042" s="84"/>
      <c r="S1042" s="84"/>
      <c r="T1042" s="84"/>
      <c r="U1042" s="84"/>
      <c r="V1042" s="84"/>
      <c r="W1042" s="84"/>
      <c r="Y1042" s="84"/>
      <c r="Z1042" s="84"/>
      <c r="AA1042" s="84"/>
      <c r="AB1042" s="84"/>
      <c r="AC1042" s="84"/>
      <c r="AD1042" s="84"/>
      <c r="AE1042" s="84"/>
      <c r="AF1042" s="84"/>
      <c r="AG1042" s="84"/>
      <c r="AH1042" s="84"/>
      <c r="AI1042" s="84"/>
      <c r="AL1042" s="84"/>
      <c r="AM1042" s="84"/>
      <c r="AN1042" s="84"/>
      <c r="AO1042" s="84"/>
      <c r="AP1042" s="84"/>
      <c r="AQ1042" s="84"/>
      <c r="AR1042" s="84"/>
      <c r="AS1042" s="84"/>
      <c r="AT1042" s="84"/>
      <c r="AU1042" s="84"/>
      <c r="AV1042" s="84"/>
      <c r="AY1042" s="84"/>
      <c r="AZ1042" s="84"/>
      <c r="BA1042" s="84"/>
      <c r="BB1042" s="84"/>
      <c r="BC1042" s="84"/>
      <c r="BD1042" s="84"/>
      <c r="BE1042" s="84"/>
      <c r="BF1042" s="942"/>
      <c r="BG1042" s="942"/>
      <c r="BH1042" s="942"/>
      <c r="BI1042" s="84"/>
      <c r="BL1042" s="84"/>
      <c r="BM1042" s="84"/>
      <c r="BN1042" s="84"/>
      <c r="BO1042" s="84"/>
      <c r="BP1042" s="84"/>
      <c r="BQ1042" s="84"/>
      <c r="BR1042" s="84"/>
      <c r="BS1042" s="942"/>
      <c r="BT1042" s="942"/>
      <c r="BU1042" s="942"/>
      <c r="BV1042" s="84"/>
    </row>
    <row r="1043" spans="14:74" ht="14.25">
      <c r="N1043" s="84"/>
      <c r="O1043" s="84"/>
      <c r="P1043" s="84"/>
      <c r="Q1043" s="84"/>
      <c r="R1043" s="84"/>
      <c r="S1043" s="84"/>
      <c r="T1043" s="84"/>
      <c r="U1043" s="84"/>
      <c r="V1043" s="84"/>
      <c r="W1043" s="84"/>
      <c r="Y1043" s="84"/>
      <c r="Z1043" s="84"/>
      <c r="AA1043" s="84"/>
      <c r="AB1043" s="84"/>
      <c r="AC1043" s="84"/>
      <c r="AD1043" s="84"/>
      <c r="AE1043" s="84"/>
      <c r="AF1043" s="84"/>
      <c r="AG1043" s="84"/>
      <c r="AH1043" s="84"/>
      <c r="AI1043" s="84"/>
      <c r="AL1043" s="84"/>
      <c r="AM1043" s="84"/>
      <c r="AN1043" s="84"/>
      <c r="AO1043" s="84"/>
      <c r="AP1043" s="84"/>
      <c r="AQ1043" s="84"/>
      <c r="AR1043" s="84"/>
      <c r="AS1043" s="84"/>
      <c r="AT1043" s="84"/>
      <c r="AU1043" s="84"/>
      <c r="AV1043" s="84"/>
      <c r="AY1043" s="84"/>
      <c r="AZ1043" s="84"/>
      <c r="BA1043" s="84"/>
      <c r="BB1043" s="84"/>
      <c r="BC1043" s="84"/>
      <c r="BD1043" s="84"/>
      <c r="BE1043" s="84"/>
      <c r="BF1043" s="942"/>
      <c r="BG1043" s="942"/>
      <c r="BH1043" s="942"/>
      <c r="BI1043" s="84"/>
      <c r="BL1043" s="84"/>
      <c r="BM1043" s="84"/>
      <c r="BN1043" s="84"/>
      <c r="BO1043" s="84"/>
      <c r="BP1043" s="84"/>
      <c r="BQ1043" s="84"/>
      <c r="BR1043" s="84"/>
      <c r="BS1043" s="942"/>
      <c r="BT1043" s="942"/>
      <c r="BU1043" s="942"/>
      <c r="BV1043" s="84"/>
    </row>
    <row r="1044" spans="14:74" ht="14.25">
      <c r="N1044" s="84"/>
      <c r="O1044" s="84"/>
      <c r="P1044" s="84"/>
      <c r="Q1044" s="84"/>
      <c r="R1044" s="84"/>
      <c r="S1044" s="84"/>
      <c r="T1044" s="84"/>
      <c r="U1044" s="84"/>
      <c r="V1044" s="84"/>
      <c r="W1044" s="84"/>
      <c r="Y1044" s="84"/>
      <c r="Z1044" s="84"/>
      <c r="AA1044" s="84"/>
      <c r="AB1044" s="84"/>
      <c r="AC1044" s="84"/>
      <c r="AD1044" s="84"/>
      <c r="AE1044" s="84"/>
      <c r="AF1044" s="84"/>
      <c r="AG1044" s="84"/>
      <c r="AH1044" s="84"/>
      <c r="AI1044" s="84"/>
      <c r="AL1044" s="84"/>
      <c r="AM1044" s="84"/>
      <c r="AN1044" s="84"/>
      <c r="AO1044" s="84"/>
      <c r="AP1044" s="84"/>
      <c r="AQ1044" s="84"/>
      <c r="AR1044" s="84"/>
      <c r="AS1044" s="84"/>
      <c r="AT1044" s="84"/>
      <c r="AU1044" s="84"/>
      <c r="AV1044" s="84"/>
      <c r="AY1044" s="84"/>
      <c r="AZ1044" s="84"/>
      <c r="BA1044" s="84"/>
      <c r="BB1044" s="84"/>
      <c r="BC1044" s="84"/>
      <c r="BD1044" s="84"/>
      <c r="BE1044" s="84"/>
      <c r="BF1044" s="942"/>
      <c r="BG1044" s="942"/>
      <c r="BH1044" s="942"/>
      <c r="BI1044" s="84"/>
      <c r="BL1044" s="84"/>
      <c r="BM1044" s="84"/>
      <c r="BN1044" s="84"/>
      <c r="BO1044" s="84"/>
      <c r="BP1044" s="84"/>
      <c r="BQ1044" s="84"/>
      <c r="BR1044" s="84"/>
      <c r="BS1044" s="942"/>
      <c r="BT1044" s="942"/>
      <c r="BU1044" s="942"/>
      <c r="BV1044" s="84"/>
    </row>
    <row r="1045" spans="14:74" ht="14.25">
      <c r="N1045" s="84"/>
      <c r="O1045" s="84"/>
      <c r="P1045" s="84"/>
      <c r="Q1045" s="84"/>
      <c r="R1045" s="84"/>
      <c r="S1045" s="84"/>
      <c r="T1045" s="84"/>
      <c r="U1045" s="84"/>
      <c r="V1045" s="84"/>
      <c r="W1045" s="84"/>
      <c r="Y1045" s="84"/>
      <c r="Z1045" s="84"/>
      <c r="AA1045" s="84"/>
      <c r="AB1045" s="84"/>
      <c r="AC1045" s="84"/>
      <c r="AD1045" s="84"/>
      <c r="AE1045" s="84"/>
      <c r="AF1045" s="84"/>
      <c r="AG1045" s="84"/>
      <c r="AH1045" s="84"/>
      <c r="AI1045" s="84"/>
      <c r="AL1045" s="84"/>
      <c r="AM1045" s="84"/>
      <c r="AN1045" s="84"/>
      <c r="AO1045" s="84"/>
      <c r="AP1045" s="84"/>
      <c r="AQ1045" s="84"/>
      <c r="AR1045" s="84"/>
      <c r="AS1045" s="84"/>
      <c r="AT1045" s="84"/>
      <c r="AU1045" s="84"/>
      <c r="AV1045" s="84"/>
      <c r="AY1045" s="84"/>
      <c r="AZ1045" s="84"/>
      <c r="BA1045" s="84"/>
      <c r="BB1045" s="84"/>
      <c r="BC1045" s="84"/>
      <c r="BD1045" s="84"/>
      <c r="BE1045" s="84"/>
      <c r="BF1045" s="942"/>
      <c r="BG1045" s="942"/>
      <c r="BH1045" s="942"/>
      <c r="BI1045" s="84"/>
      <c r="BL1045" s="84"/>
      <c r="BM1045" s="84"/>
      <c r="BN1045" s="84"/>
      <c r="BO1045" s="84"/>
      <c r="BP1045" s="84"/>
      <c r="BQ1045" s="84"/>
      <c r="BR1045" s="84"/>
      <c r="BS1045" s="942"/>
      <c r="BT1045" s="942"/>
      <c r="BU1045" s="942"/>
      <c r="BV1045" s="84"/>
    </row>
    <row r="1046" spans="14:74" ht="14.25">
      <c r="N1046" s="84"/>
      <c r="O1046" s="84"/>
      <c r="P1046" s="84"/>
      <c r="Q1046" s="84"/>
      <c r="R1046" s="84"/>
      <c r="S1046" s="84"/>
      <c r="T1046" s="84"/>
      <c r="U1046" s="84"/>
      <c r="V1046" s="84"/>
      <c r="W1046" s="84"/>
      <c r="Y1046" s="84"/>
      <c r="Z1046" s="84"/>
      <c r="AA1046" s="84"/>
      <c r="AB1046" s="84"/>
      <c r="AC1046" s="84"/>
      <c r="AD1046" s="84"/>
      <c r="AE1046" s="84"/>
      <c r="AF1046" s="84"/>
      <c r="AG1046" s="84"/>
      <c r="AH1046" s="84"/>
      <c r="AI1046" s="84"/>
      <c r="AL1046" s="84"/>
      <c r="AM1046" s="84"/>
      <c r="AN1046" s="84"/>
      <c r="AO1046" s="84"/>
      <c r="AP1046" s="84"/>
      <c r="AQ1046" s="84"/>
      <c r="AR1046" s="84"/>
      <c r="AS1046" s="84"/>
      <c r="AT1046" s="84"/>
      <c r="AU1046" s="84"/>
      <c r="AV1046" s="84"/>
      <c r="AY1046" s="84"/>
      <c r="AZ1046" s="84"/>
      <c r="BA1046" s="84"/>
      <c r="BB1046" s="84"/>
      <c r="BC1046" s="84"/>
      <c r="BD1046" s="84"/>
      <c r="BE1046" s="84"/>
      <c r="BF1046" s="942"/>
      <c r="BG1046" s="942"/>
      <c r="BH1046" s="942"/>
      <c r="BI1046" s="84"/>
      <c r="BL1046" s="84"/>
      <c r="BM1046" s="84"/>
      <c r="BN1046" s="84"/>
      <c r="BO1046" s="84"/>
      <c r="BP1046" s="84"/>
      <c r="BQ1046" s="84"/>
      <c r="BR1046" s="84"/>
      <c r="BS1046" s="942"/>
      <c r="BT1046" s="942"/>
      <c r="BU1046" s="942"/>
      <c r="BV1046" s="84"/>
    </row>
    <row r="1047" spans="14:74" ht="14.25">
      <c r="N1047" s="84"/>
      <c r="O1047" s="84"/>
      <c r="P1047" s="84"/>
      <c r="Q1047" s="84"/>
      <c r="R1047" s="84"/>
      <c r="S1047" s="84"/>
      <c r="T1047" s="84"/>
      <c r="U1047" s="84"/>
      <c r="V1047" s="84"/>
      <c r="W1047" s="84"/>
      <c r="Y1047" s="84"/>
      <c r="Z1047" s="84"/>
      <c r="AA1047" s="84"/>
      <c r="AB1047" s="84"/>
      <c r="AC1047" s="84"/>
      <c r="AD1047" s="84"/>
      <c r="AE1047" s="84"/>
      <c r="AF1047" s="84"/>
      <c r="AG1047" s="84"/>
      <c r="AH1047" s="84"/>
      <c r="AI1047" s="84"/>
      <c r="AL1047" s="84"/>
      <c r="AM1047" s="84"/>
      <c r="AN1047" s="84"/>
      <c r="AO1047" s="84"/>
      <c r="AP1047" s="84"/>
      <c r="AQ1047" s="84"/>
      <c r="AR1047" s="84"/>
      <c r="AS1047" s="84"/>
      <c r="AT1047" s="84"/>
      <c r="AU1047" s="84"/>
      <c r="AV1047" s="84"/>
      <c r="AY1047" s="84"/>
      <c r="AZ1047" s="84"/>
      <c r="BA1047" s="84"/>
      <c r="BB1047" s="84"/>
      <c r="BC1047" s="84"/>
      <c r="BD1047" s="84"/>
      <c r="BE1047" s="84"/>
      <c r="BF1047" s="942"/>
      <c r="BG1047" s="942"/>
      <c r="BH1047" s="942"/>
      <c r="BI1047" s="84"/>
      <c r="BL1047" s="84"/>
      <c r="BM1047" s="84"/>
      <c r="BN1047" s="84"/>
      <c r="BO1047" s="84"/>
      <c r="BP1047" s="84"/>
      <c r="BQ1047" s="84"/>
      <c r="BR1047" s="84"/>
      <c r="BS1047" s="942"/>
      <c r="BT1047" s="942"/>
      <c r="BU1047" s="942"/>
      <c r="BV1047" s="84"/>
    </row>
    <row r="1048" spans="14:74" ht="14.25">
      <c r="N1048" s="84"/>
      <c r="O1048" s="84"/>
      <c r="P1048" s="84"/>
      <c r="Q1048" s="84"/>
      <c r="R1048" s="84"/>
      <c r="S1048" s="84"/>
      <c r="T1048" s="84"/>
      <c r="U1048" s="84"/>
      <c r="V1048" s="84"/>
      <c r="W1048" s="84"/>
      <c r="Y1048" s="84"/>
      <c r="Z1048" s="84"/>
      <c r="AA1048" s="84"/>
      <c r="AB1048" s="84"/>
      <c r="AC1048" s="84"/>
      <c r="AD1048" s="84"/>
      <c r="AE1048" s="84"/>
      <c r="AF1048" s="84"/>
      <c r="AG1048" s="84"/>
      <c r="AH1048" s="84"/>
      <c r="AI1048" s="84"/>
      <c r="AL1048" s="84"/>
      <c r="AM1048" s="84"/>
      <c r="AN1048" s="84"/>
      <c r="AO1048" s="84"/>
      <c r="AP1048" s="84"/>
      <c r="AQ1048" s="84"/>
      <c r="AR1048" s="84"/>
      <c r="AS1048" s="84"/>
      <c r="AT1048" s="84"/>
      <c r="AU1048" s="84"/>
      <c r="AV1048" s="84"/>
      <c r="AY1048" s="84"/>
      <c r="AZ1048" s="84"/>
      <c r="BA1048" s="84"/>
      <c r="BB1048" s="84"/>
      <c r="BC1048" s="84"/>
      <c r="BD1048" s="84"/>
      <c r="BE1048" s="84"/>
      <c r="BF1048" s="942"/>
      <c r="BG1048" s="942"/>
      <c r="BH1048" s="942"/>
      <c r="BI1048" s="84"/>
      <c r="BL1048" s="84"/>
      <c r="BM1048" s="84"/>
      <c r="BN1048" s="84"/>
      <c r="BO1048" s="84"/>
      <c r="BP1048" s="84"/>
      <c r="BQ1048" s="84"/>
      <c r="BR1048" s="84"/>
      <c r="BS1048" s="942"/>
      <c r="BT1048" s="942"/>
      <c r="BU1048" s="942"/>
      <c r="BV1048" s="84"/>
    </row>
    <row r="1049" spans="14:74" ht="14.25">
      <c r="N1049" s="84"/>
      <c r="O1049" s="84"/>
      <c r="P1049" s="84"/>
      <c r="Q1049" s="84"/>
      <c r="R1049" s="84"/>
      <c r="S1049" s="84"/>
      <c r="T1049" s="84"/>
      <c r="U1049" s="84"/>
      <c r="V1049" s="84"/>
      <c r="W1049" s="84"/>
      <c r="Y1049" s="84"/>
      <c r="Z1049" s="84"/>
      <c r="AA1049" s="84"/>
      <c r="AB1049" s="84"/>
      <c r="AC1049" s="84"/>
      <c r="AD1049" s="84"/>
      <c r="AE1049" s="84"/>
      <c r="AF1049" s="84"/>
      <c r="AG1049" s="84"/>
      <c r="AH1049" s="84"/>
      <c r="AI1049" s="84"/>
      <c r="AL1049" s="84"/>
      <c r="AM1049" s="84"/>
      <c r="AN1049" s="84"/>
      <c r="AO1049" s="84"/>
      <c r="AP1049" s="84"/>
      <c r="AQ1049" s="84"/>
      <c r="AR1049" s="84"/>
      <c r="AS1049" s="84"/>
      <c r="AT1049" s="84"/>
      <c r="AU1049" s="84"/>
      <c r="AV1049" s="84"/>
      <c r="AY1049" s="84"/>
      <c r="AZ1049" s="84"/>
      <c r="BA1049" s="84"/>
      <c r="BB1049" s="84"/>
      <c r="BC1049" s="84"/>
      <c r="BD1049" s="84"/>
      <c r="BE1049" s="84"/>
      <c r="BF1049" s="942"/>
      <c r="BG1049" s="942"/>
      <c r="BH1049" s="942"/>
      <c r="BI1049" s="84"/>
      <c r="BL1049" s="84"/>
      <c r="BM1049" s="84"/>
      <c r="BN1049" s="84"/>
      <c r="BO1049" s="84"/>
      <c r="BP1049" s="84"/>
      <c r="BQ1049" s="84"/>
      <c r="BR1049" s="84"/>
      <c r="BS1049" s="942"/>
      <c r="BT1049" s="942"/>
      <c r="BU1049" s="942"/>
      <c r="BV1049" s="84"/>
    </row>
    <row r="1050" spans="14:74" ht="14.25">
      <c r="N1050" s="84"/>
      <c r="O1050" s="84"/>
      <c r="P1050" s="84"/>
      <c r="Q1050" s="84"/>
      <c r="R1050" s="84"/>
      <c r="S1050" s="84"/>
      <c r="T1050" s="84"/>
      <c r="U1050" s="84"/>
      <c r="V1050" s="84"/>
      <c r="W1050" s="84"/>
      <c r="Y1050" s="84"/>
      <c r="Z1050" s="84"/>
      <c r="AA1050" s="84"/>
      <c r="AB1050" s="84"/>
      <c r="AC1050" s="84"/>
      <c r="AD1050" s="84"/>
      <c r="AE1050" s="84"/>
      <c r="AF1050" s="84"/>
      <c r="AG1050" s="84"/>
      <c r="AH1050" s="84"/>
      <c r="AI1050" s="84"/>
      <c r="AL1050" s="84"/>
      <c r="AM1050" s="84"/>
      <c r="AN1050" s="84"/>
      <c r="AO1050" s="84"/>
      <c r="AP1050" s="84"/>
      <c r="AQ1050" s="84"/>
      <c r="AR1050" s="84"/>
      <c r="AS1050" s="84"/>
      <c r="AT1050" s="84"/>
      <c r="AU1050" s="84"/>
      <c r="AV1050" s="84"/>
      <c r="AY1050" s="84"/>
      <c r="AZ1050" s="84"/>
      <c r="BA1050" s="84"/>
      <c r="BB1050" s="84"/>
      <c r="BC1050" s="84"/>
      <c r="BD1050" s="84"/>
      <c r="BE1050" s="84"/>
      <c r="BF1050" s="942"/>
      <c r="BG1050" s="942"/>
      <c r="BH1050" s="942"/>
      <c r="BI1050" s="84"/>
      <c r="BL1050" s="84"/>
      <c r="BM1050" s="84"/>
      <c r="BN1050" s="84"/>
      <c r="BO1050" s="84"/>
      <c r="BP1050" s="84"/>
      <c r="BQ1050" s="84"/>
      <c r="BR1050" s="84"/>
      <c r="BS1050" s="942"/>
      <c r="BT1050" s="942"/>
      <c r="BU1050" s="942"/>
      <c r="BV1050" s="84"/>
    </row>
    <row r="1051" spans="14:74" ht="14.25">
      <c r="N1051" s="84"/>
      <c r="O1051" s="84"/>
      <c r="P1051" s="84"/>
      <c r="Q1051" s="84"/>
      <c r="R1051" s="84"/>
      <c r="S1051" s="84"/>
      <c r="T1051" s="84"/>
      <c r="U1051" s="84"/>
      <c r="V1051" s="84"/>
      <c r="W1051" s="84"/>
      <c r="Y1051" s="84"/>
      <c r="Z1051" s="84"/>
      <c r="AA1051" s="84"/>
      <c r="AB1051" s="84"/>
      <c r="AC1051" s="84"/>
      <c r="AD1051" s="84"/>
      <c r="AE1051" s="84"/>
      <c r="AF1051" s="84"/>
      <c r="AG1051" s="84"/>
      <c r="AH1051" s="84"/>
      <c r="AI1051" s="84"/>
      <c r="AL1051" s="84"/>
      <c r="AM1051" s="84"/>
      <c r="AN1051" s="84"/>
      <c r="AO1051" s="84"/>
      <c r="AP1051" s="84"/>
      <c r="AQ1051" s="84"/>
      <c r="AR1051" s="84"/>
      <c r="AS1051" s="84"/>
      <c r="AT1051" s="84"/>
      <c r="AU1051" s="84"/>
      <c r="AV1051" s="84"/>
      <c r="AY1051" s="84"/>
      <c r="AZ1051" s="84"/>
      <c r="BA1051" s="84"/>
      <c r="BB1051" s="84"/>
      <c r="BC1051" s="84"/>
      <c r="BD1051" s="84"/>
      <c r="BE1051" s="84"/>
      <c r="BF1051" s="942"/>
      <c r="BG1051" s="942"/>
      <c r="BH1051" s="942"/>
      <c r="BI1051" s="84"/>
      <c r="BL1051" s="84"/>
      <c r="BM1051" s="84"/>
      <c r="BN1051" s="84"/>
      <c r="BO1051" s="84"/>
      <c r="BP1051" s="84"/>
      <c r="BQ1051" s="84"/>
      <c r="BR1051" s="84"/>
      <c r="BS1051" s="942"/>
      <c r="BT1051" s="942"/>
      <c r="BU1051" s="942"/>
      <c r="BV1051" s="84"/>
    </row>
    <row r="1052" spans="14:74" ht="14.25">
      <c r="N1052" s="84"/>
      <c r="O1052" s="84"/>
      <c r="P1052" s="84"/>
      <c r="Q1052" s="84"/>
      <c r="R1052" s="84"/>
      <c r="S1052" s="84"/>
      <c r="T1052" s="84"/>
      <c r="U1052" s="84"/>
      <c r="V1052" s="84"/>
      <c r="W1052" s="84"/>
      <c r="Y1052" s="84"/>
      <c r="Z1052" s="84"/>
      <c r="AA1052" s="84"/>
      <c r="AB1052" s="84"/>
      <c r="AC1052" s="84"/>
      <c r="AD1052" s="84"/>
      <c r="AE1052" s="84"/>
      <c r="AF1052" s="84"/>
      <c r="AG1052" s="84"/>
      <c r="AH1052" s="84"/>
      <c r="AI1052" s="84"/>
      <c r="AL1052" s="84"/>
      <c r="AM1052" s="84"/>
      <c r="AN1052" s="84"/>
      <c r="AO1052" s="84"/>
      <c r="AP1052" s="84"/>
      <c r="AQ1052" s="84"/>
      <c r="AR1052" s="84"/>
      <c r="AS1052" s="84"/>
      <c r="AT1052" s="84"/>
      <c r="AU1052" s="84"/>
      <c r="AV1052" s="84"/>
      <c r="AY1052" s="84"/>
      <c r="AZ1052" s="84"/>
      <c r="BA1052" s="84"/>
      <c r="BB1052" s="84"/>
      <c r="BC1052" s="84"/>
      <c r="BD1052" s="84"/>
      <c r="BE1052" s="84"/>
      <c r="BF1052" s="942"/>
      <c r="BG1052" s="942"/>
      <c r="BH1052" s="942"/>
      <c r="BI1052" s="84"/>
      <c r="BL1052" s="84"/>
      <c r="BM1052" s="84"/>
      <c r="BN1052" s="84"/>
      <c r="BO1052" s="84"/>
      <c r="BP1052" s="84"/>
      <c r="BQ1052" s="84"/>
      <c r="BR1052" s="84"/>
      <c r="BS1052" s="942"/>
      <c r="BT1052" s="942"/>
      <c r="BU1052" s="942"/>
      <c r="BV1052" s="84"/>
    </row>
    <row r="1053" spans="14:74" ht="14.25">
      <c r="N1053" s="84"/>
      <c r="O1053" s="84"/>
      <c r="P1053" s="84"/>
      <c r="Q1053" s="84"/>
      <c r="R1053" s="84"/>
      <c r="S1053" s="84"/>
      <c r="T1053" s="84"/>
      <c r="U1053" s="84"/>
      <c r="V1053" s="84"/>
      <c r="W1053" s="84"/>
      <c r="Y1053" s="84"/>
      <c r="Z1053" s="84"/>
      <c r="AA1053" s="84"/>
      <c r="AB1053" s="84"/>
      <c r="AC1053" s="84"/>
      <c r="AD1053" s="84"/>
      <c r="AE1053" s="84"/>
      <c r="AF1053" s="84"/>
      <c r="AG1053" s="84"/>
      <c r="AH1053" s="84"/>
      <c r="AI1053" s="84"/>
      <c r="AL1053" s="84"/>
      <c r="AM1053" s="84"/>
      <c r="AN1053" s="84"/>
      <c r="AO1053" s="84"/>
      <c r="AP1053" s="84"/>
      <c r="AQ1053" s="84"/>
      <c r="AR1053" s="84"/>
      <c r="AS1053" s="84"/>
      <c r="AT1053" s="84"/>
      <c r="AU1053" s="84"/>
      <c r="AV1053" s="84"/>
      <c r="AY1053" s="84"/>
      <c r="AZ1053" s="84"/>
      <c r="BA1053" s="84"/>
      <c r="BB1053" s="84"/>
      <c r="BC1053" s="84"/>
      <c r="BD1053" s="84"/>
      <c r="BE1053" s="84"/>
      <c r="BF1053" s="942"/>
      <c r="BG1053" s="942"/>
      <c r="BH1053" s="942"/>
      <c r="BI1053" s="84"/>
      <c r="BL1053" s="84"/>
      <c r="BM1053" s="84"/>
      <c r="BN1053" s="84"/>
      <c r="BO1053" s="84"/>
      <c r="BP1053" s="84"/>
      <c r="BQ1053" s="84"/>
      <c r="BR1053" s="84"/>
      <c r="BS1053" s="942"/>
      <c r="BT1053" s="942"/>
      <c r="BU1053" s="942"/>
      <c r="BV1053" s="84"/>
    </row>
    <row r="1054" spans="14:74" ht="14.25">
      <c r="N1054" s="84"/>
      <c r="O1054" s="84"/>
      <c r="P1054" s="84"/>
      <c r="Q1054" s="84"/>
      <c r="R1054" s="84"/>
      <c r="S1054" s="84"/>
      <c r="T1054" s="84"/>
      <c r="U1054" s="84"/>
      <c r="V1054" s="84"/>
      <c r="W1054" s="84"/>
      <c r="Y1054" s="84"/>
      <c r="Z1054" s="84"/>
      <c r="AA1054" s="84"/>
      <c r="AB1054" s="84"/>
      <c r="AC1054" s="84"/>
      <c r="AD1054" s="84"/>
      <c r="AE1054" s="84"/>
      <c r="AF1054" s="84"/>
      <c r="AG1054" s="84"/>
      <c r="AH1054" s="84"/>
      <c r="AI1054" s="84"/>
      <c r="AL1054" s="84"/>
      <c r="AM1054" s="84"/>
      <c r="AN1054" s="84"/>
      <c r="AO1054" s="84"/>
      <c r="AP1054" s="84"/>
      <c r="AQ1054" s="84"/>
      <c r="AR1054" s="84"/>
      <c r="AS1054" s="84"/>
      <c r="AT1054" s="84"/>
      <c r="AU1054" s="84"/>
      <c r="AV1054" s="84"/>
      <c r="AY1054" s="84"/>
      <c r="AZ1054" s="84"/>
      <c r="BA1054" s="84"/>
      <c r="BB1054" s="84"/>
      <c r="BC1054" s="84"/>
      <c r="BD1054" s="84"/>
      <c r="BE1054" s="84"/>
      <c r="BF1054" s="942"/>
      <c r="BG1054" s="942"/>
      <c r="BH1054" s="942"/>
      <c r="BI1054" s="84"/>
      <c r="BL1054" s="84"/>
      <c r="BM1054" s="84"/>
      <c r="BN1054" s="84"/>
      <c r="BO1054" s="84"/>
      <c r="BP1054" s="84"/>
      <c r="BQ1054" s="84"/>
      <c r="BR1054" s="84"/>
      <c r="BS1054" s="942"/>
      <c r="BT1054" s="942"/>
      <c r="BU1054" s="942"/>
      <c r="BV1054" s="84"/>
    </row>
    <row r="1055" spans="14:74" ht="14.25">
      <c r="N1055" s="84"/>
      <c r="O1055" s="84"/>
      <c r="P1055" s="84"/>
      <c r="Q1055" s="84"/>
      <c r="R1055" s="84"/>
      <c r="S1055" s="84"/>
      <c r="T1055" s="84"/>
      <c r="U1055" s="84"/>
      <c r="V1055" s="84"/>
      <c r="W1055" s="84"/>
      <c r="Y1055" s="84"/>
      <c r="Z1055" s="84"/>
      <c r="AA1055" s="84"/>
      <c r="AB1055" s="84"/>
      <c r="AC1055" s="84"/>
      <c r="AD1055" s="84"/>
      <c r="AE1055" s="84"/>
      <c r="AF1055" s="84"/>
      <c r="AG1055" s="84"/>
      <c r="AH1055" s="84"/>
      <c r="AI1055" s="84"/>
      <c r="AL1055" s="84"/>
      <c r="AM1055" s="84"/>
      <c r="AN1055" s="84"/>
      <c r="AO1055" s="84"/>
      <c r="AP1055" s="84"/>
      <c r="AQ1055" s="84"/>
      <c r="AR1055" s="84"/>
      <c r="AS1055" s="84"/>
      <c r="AT1055" s="84"/>
      <c r="AU1055" s="84"/>
      <c r="AV1055" s="84"/>
      <c r="AY1055" s="84"/>
      <c r="AZ1055" s="84"/>
      <c r="BA1055" s="84"/>
      <c r="BB1055" s="84"/>
      <c r="BC1055" s="84"/>
      <c r="BD1055" s="84"/>
      <c r="BE1055" s="84"/>
      <c r="BF1055" s="942"/>
      <c r="BG1055" s="942"/>
      <c r="BH1055" s="942"/>
      <c r="BI1055" s="84"/>
      <c r="BL1055" s="84"/>
      <c r="BM1055" s="84"/>
      <c r="BN1055" s="84"/>
      <c r="BO1055" s="84"/>
      <c r="BP1055" s="84"/>
      <c r="BQ1055" s="84"/>
      <c r="BR1055" s="84"/>
      <c r="BS1055" s="942"/>
      <c r="BT1055" s="942"/>
      <c r="BU1055" s="942"/>
      <c r="BV1055" s="84"/>
    </row>
    <row r="1056" spans="14:74" ht="14.25">
      <c r="N1056" s="84"/>
      <c r="O1056" s="84"/>
      <c r="P1056" s="84"/>
      <c r="Q1056" s="84"/>
      <c r="R1056" s="84"/>
      <c r="S1056" s="84"/>
      <c r="T1056" s="84"/>
      <c r="U1056" s="84"/>
      <c r="V1056" s="84"/>
      <c r="W1056" s="84"/>
      <c r="Y1056" s="84"/>
      <c r="Z1056" s="84"/>
      <c r="AA1056" s="84"/>
      <c r="AB1056" s="84"/>
      <c r="AC1056" s="84"/>
      <c r="AD1056" s="84"/>
      <c r="AE1056" s="84"/>
      <c r="AF1056" s="84"/>
      <c r="AG1056" s="84"/>
      <c r="AH1056" s="84"/>
      <c r="AI1056" s="84"/>
      <c r="AL1056" s="84"/>
      <c r="AM1056" s="84"/>
      <c r="AN1056" s="84"/>
      <c r="AO1056" s="84"/>
      <c r="AP1056" s="84"/>
      <c r="AQ1056" s="84"/>
      <c r="AR1056" s="84"/>
      <c r="AS1056" s="84"/>
      <c r="AT1056" s="84"/>
      <c r="AU1056" s="84"/>
      <c r="AV1056" s="84"/>
      <c r="AY1056" s="84"/>
      <c r="AZ1056" s="84"/>
      <c r="BA1056" s="84"/>
      <c r="BB1056" s="84"/>
      <c r="BC1056" s="84"/>
      <c r="BD1056" s="84"/>
      <c r="BE1056" s="84"/>
      <c r="BF1056" s="942"/>
      <c r="BG1056" s="942"/>
      <c r="BH1056" s="942"/>
      <c r="BI1056" s="84"/>
      <c r="BL1056" s="84"/>
      <c r="BM1056" s="84"/>
      <c r="BN1056" s="84"/>
      <c r="BO1056" s="84"/>
      <c r="BP1056" s="84"/>
      <c r="BQ1056" s="84"/>
      <c r="BR1056" s="84"/>
      <c r="BS1056" s="942"/>
      <c r="BT1056" s="942"/>
      <c r="BU1056" s="942"/>
      <c r="BV1056" s="84"/>
    </row>
    <row r="1057" spans="14:74" ht="14.25">
      <c r="N1057" s="84"/>
      <c r="O1057" s="84"/>
      <c r="P1057" s="84"/>
      <c r="Q1057" s="84"/>
      <c r="R1057" s="84"/>
      <c r="S1057" s="84"/>
      <c r="T1057" s="84"/>
      <c r="U1057" s="84"/>
      <c r="V1057" s="84"/>
      <c r="W1057" s="84"/>
      <c r="Y1057" s="84"/>
      <c r="Z1057" s="84"/>
      <c r="AA1057" s="84"/>
      <c r="AB1057" s="84"/>
      <c r="AC1057" s="84"/>
      <c r="AD1057" s="84"/>
      <c r="AE1057" s="84"/>
      <c r="AF1057" s="84"/>
      <c r="AG1057" s="84"/>
      <c r="AH1057" s="84"/>
      <c r="AI1057" s="84"/>
      <c r="AL1057" s="84"/>
      <c r="AM1057" s="84"/>
      <c r="AN1057" s="84"/>
      <c r="AO1057" s="84"/>
      <c r="AP1057" s="84"/>
      <c r="AQ1057" s="84"/>
      <c r="AR1057" s="84"/>
      <c r="AS1057" s="84"/>
      <c r="AT1057" s="84"/>
      <c r="AU1057" s="84"/>
      <c r="AV1057" s="84"/>
      <c r="AY1057" s="84"/>
      <c r="AZ1057" s="84"/>
      <c r="BA1057" s="84"/>
      <c r="BB1057" s="84"/>
      <c r="BC1057" s="84"/>
      <c r="BD1057" s="84"/>
      <c r="BE1057" s="84"/>
      <c r="BF1057" s="942"/>
      <c r="BG1057" s="942"/>
      <c r="BH1057" s="942"/>
      <c r="BI1057" s="84"/>
      <c r="BL1057" s="84"/>
      <c r="BM1057" s="84"/>
      <c r="BN1057" s="84"/>
      <c r="BO1057" s="84"/>
      <c r="BP1057" s="84"/>
      <c r="BQ1057" s="84"/>
      <c r="BR1057" s="84"/>
      <c r="BS1057" s="942"/>
      <c r="BT1057" s="942"/>
      <c r="BU1057" s="942"/>
      <c r="BV1057" s="84"/>
    </row>
    <row r="1058" spans="14:74" ht="14.25">
      <c r="N1058" s="84"/>
      <c r="O1058" s="84"/>
      <c r="P1058" s="84"/>
      <c r="Q1058" s="84"/>
      <c r="R1058" s="84"/>
      <c r="S1058" s="84"/>
      <c r="T1058" s="84"/>
      <c r="U1058" s="84"/>
      <c r="V1058" s="84"/>
      <c r="W1058" s="84"/>
      <c r="Y1058" s="84"/>
      <c r="Z1058" s="84"/>
      <c r="AA1058" s="84"/>
      <c r="AB1058" s="84"/>
      <c r="AC1058" s="84"/>
      <c r="AD1058" s="84"/>
      <c r="AE1058" s="84"/>
      <c r="AF1058" s="84"/>
      <c r="AG1058" s="84"/>
      <c r="AH1058" s="84"/>
      <c r="AI1058" s="84"/>
      <c r="AL1058" s="84"/>
      <c r="AM1058" s="84"/>
      <c r="AN1058" s="84"/>
      <c r="AO1058" s="84"/>
      <c r="AP1058" s="84"/>
      <c r="AQ1058" s="84"/>
      <c r="AR1058" s="84"/>
      <c r="AS1058" s="84"/>
      <c r="AT1058" s="84"/>
      <c r="AU1058" s="84"/>
      <c r="AV1058" s="84"/>
      <c r="AY1058" s="84"/>
      <c r="AZ1058" s="84"/>
      <c r="BA1058" s="84"/>
      <c r="BB1058" s="84"/>
      <c r="BC1058" s="84"/>
      <c r="BD1058" s="84"/>
      <c r="BE1058" s="84"/>
      <c r="BF1058" s="942"/>
      <c r="BG1058" s="942"/>
      <c r="BH1058" s="942"/>
      <c r="BI1058" s="84"/>
      <c r="BL1058" s="84"/>
      <c r="BM1058" s="84"/>
      <c r="BN1058" s="84"/>
      <c r="BO1058" s="84"/>
      <c r="BP1058" s="84"/>
      <c r="BQ1058" s="84"/>
      <c r="BR1058" s="84"/>
      <c r="BS1058" s="942"/>
      <c r="BT1058" s="942"/>
      <c r="BU1058" s="942"/>
      <c r="BV1058" s="84"/>
    </row>
    <row r="1059" spans="14:74" ht="14.25">
      <c r="N1059" s="84"/>
      <c r="O1059" s="84"/>
      <c r="P1059" s="84"/>
      <c r="Q1059" s="84"/>
      <c r="R1059" s="84"/>
      <c r="S1059" s="84"/>
      <c r="T1059" s="84"/>
      <c r="U1059" s="84"/>
      <c r="V1059" s="84"/>
      <c r="W1059" s="84"/>
      <c r="Y1059" s="84"/>
      <c r="Z1059" s="84"/>
      <c r="AA1059" s="84"/>
      <c r="AB1059" s="84"/>
      <c r="AC1059" s="84"/>
      <c r="AD1059" s="84"/>
      <c r="AE1059" s="84"/>
      <c r="AF1059" s="84"/>
      <c r="AG1059" s="84"/>
      <c r="AH1059" s="84"/>
      <c r="AI1059" s="84"/>
      <c r="AL1059" s="84"/>
      <c r="AM1059" s="84"/>
      <c r="AN1059" s="84"/>
      <c r="AO1059" s="84"/>
      <c r="AP1059" s="84"/>
      <c r="AQ1059" s="84"/>
      <c r="AR1059" s="84"/>
      <c r="AS1059" s="84"/>
      <c r="AT1059" s="84"/>
      <c r="AU1059" s="84"/>
      <c r="AV1059" s="84"/>
      <c r="AY1059" s="84"/>
      <c r="AZ1059" s="84"/>
      <c r="BA1059" s="84"/>
      <c r="BB1059" s="84"/>
      <c r="BC1059" s="84"/>
      <c r="BD1059" s="84"/>
      <c r="BE1059" s="84"/>
      <c r="BF1059" s="942"/>
      <c r="BG1059" s="942"/>
      <c r="BH1059" s="942"/>
      <c r="BI1059" s="84"/>
      <c r="BL1059" s="84"/>
      <c r="BM1059" s="84"/>
      <c r="BN1059" s="84"/>
      <c r="BO1059" s="84"/>
      <c r="BP1059" s="84"/>
      <c r="BQ1059" s="84"/>
      <c r="BR1059" s="84"/>
      <c r="BS1059" s="942"/>
      <c r="BT1059" s="942"/>
      <c r="BU1059" s="942"/>
      <c r="BV1059" s="84"/>
    </row>
    <row r="1060" spans="14:74" ht="14.25">
      <c r="N1060" s="84"/>
      <c r="O1060" s="84"/>
      <c r="P1060" s="84"/>
      <c r="Q1060" s="84"/>
      <c r="R1060" s="84"/>
      <c r="S1060" s="84"/>
      <c r="T1060" s="84"/>
      <c r="U1060" s="84"/>
      <c r="V1060" s="84"/>
      <c r="W1060" s="84"/>
      <c r="Y1060" s="84"/>
      <c r="Z1060" s="84"/>
      <c r="AA1060" s="84"/>
      <c r="AB1060" s="84"/>
      <c r="AC1060" s="84"/>
      <c r="AD1060" s="84"/>
      <c r="AE1060" s="84"/>
      <c r="AF1060" s="84"/>
      <c r="AG1060" s="84"/>
      <c r="AH1060" s="84"/>
      <c r="AI1060" s="84"/>
      <c r="AL1060" s="84"/>
      <c r="AM1060" s="84"/>
      <c r="AN1060" s="84"/>
      <c r="AO1060" s="84"/>
      <c r="AP1060" s="84"/>
      <c r="AQ1060" s="84"/>
      <c r="AR1060" s="84"/>
      <c r="AS1060" s="84"/>
      <c r="AT1060" s="84"/>
      <c r="AU1060" s="84"/>
      <c r="AV1060" s="84"/>
      <c r="AY1060" s="84"/>
      <c r="AZ1060" s="84"/>
      <c r="BA1060" s="84"/>
      <c r="BB1060" s="84"/>
      <c r="BC1060" s="84"/>
      <c r="BD1060" s="84"/>
      <c r="BE1060" s="84"/>
      <c r="BF1060" s="942"/>
      <c r="BG1060" s="942"/>
      <c r="BH1060" s="942"/>
      <c r="BI1060" s="84"/>
      <c r="BL1060" s="84"/>
      <c r="BM1060" s="84"/>
      <c r="BN1060" s="84"/>
      <c r="BO1060" s="84"/>
      <c r="BP1060" s="84"/>
      <c r="BQ1060" s="84"/>
      <c r="BR1060" s="84"/>
      <c r="BS1060" s="942"/>
      <c r="BT1060" s="942"/>
      <c r="BU1060" s="942"/>
      <c r="BV1060" s="84"/>
    </row>
    <row r="1061" spans="14:74" ht="14.25">
      <c r="N1061" s="84"/>
      <c r="O1061" s="84"/>
      <c r="P1061" s="84"/>
      <c r="Q1061" s="84"/>
      <c r="R1061" s="84"/>
      <c r="S1061" s="84"/>
      <c r="T1061" s="84"/>
      <c r="U1061" s="84"/>
      <c r="V1061" s="84"/>
      <c r="W1061" s="84"/>
      <c r="Y1061" s="84"/>
      <c r="Z1061" s="84"/>
      <c r="AA1061" s="84"/>
      <c r="AB1061" s="84"/>
      <c r="AC1061" s="84"/>
      <c r="AD1061" s="84"/>
      <c r="AE1061" s="84"/>
      <c r="AF1061" s="84"/>
      <c r="AG1061" s="84"/>
      <c r="AH1061" s="84"/>
      <c r="AI1061" s="84"/>
      <c r="AL1061" s="84"/>
      <c r="AM1061" s="84"/>
      <c r="AN1061" s="84"/>
      <c r="AO1061" s="84"/>
      <c r="AP1061" s="84"/>
      <c r="AQ1061" s="84"/>
      <c r="AR1061" s="84"/>
      <c r="AS1061" s="84"/>
      <c r="AT1061" s="84"/>
      <c r="AU1061" s="84"/>
      <c r="AV1061" s="84"/>
      <c r="AY1061" s="84"/>
      <c r="AZ1061" s="84"/>
      <c r="BA1061" s="84"/>
      <c r="BB1061" s="84"/>
      <c r="BC1061" s="84"/>
      <c r="BD1061" s="84"/>
      <c r="BE1061" s="84"/>
      <c r="BF1061" s="942"/>
      <c r="BG1061" s="942"/>
      <c r="BH1061" s="942"/>
      <c r="BI1061" s="84"/>
      <c r="BL1061" s="84"/>
      <c r="BM1061" s="84"/>
      <c r="BN1061" s="84"/>
      <c r="BO1061" s="84"/>
      <c r="BP1061" s="84"/>
      <c r="BQ1061" s="84"/>
      <c r="BR1061" s="84"/>
      <c r="BS1061" s="942"/>
      <c r="BT1061" s="942"/>
      <c r="BU1061" s="942"/>
      <c r="BV1061" s="84"/>
    </row>
    <row r="1062" spans="14:74" ht="14.25">
      <c r="N1062" s="84"/>
      <c r="O1062" s="84"/>
      <c r="P1062" s="84"/>
      <c r="Q1062" s="84"/>
      <c r="R1062" s="84"/>
      <c r="S1062" s="84"/>
      <c r="T1062" s="84"/>
      <c r="U1062" s="84"/>
      <c r="V1062" s="84"/>
      <c r="W1062" s="84"/>
      <c r="Y1062" s="84"/>
      <c r="Z1062" s="84"/>
      <c r="AA1062" s="84"/>
      <c r="AB1062" s="84"/>
      <c r="AC1062" s="84"/>
      <c r="AD1062" s="84"/>
      <c r="AE1062" s="84"/>
      <c r="AF1062" s="84"/>
      <c r="AG1062" s="84"/>
      <c r="AH1062" s="84"/>
      <c r="AI1062" s="84"/>
      <c r="AL1062" s="84"/>
      <c r="AM1062" s="84"/>
      <c r="AN1062" s="84"/>
      <c r="AO1062" s="84"/>
      <c r="AP1062" s="84"/>
      <c r="AQ1062" s="84"/>
      <c r="AR1062" s="84"/>
      <c r="AS1062" s="84"/>
      <c r="AT1062" s="84"/>
      <c r="AU1062" s="84"/>
      <c r="AV1062" s="84"/>
      <c r="AY1062" s="84"/>
      <c r="AZ1062" s="84"/>
      <c r="BA1062" s="84"/>
      <c r="BB1062" s="84"/>
      <c r="BC1062" s="84"/>
      <c r="BD1062" s="84"/>
      <c r="BE1062" s="84"/>
      <c r="BF1062" s="942"/>
      <c r="BG1062" s="942"/>
      <c r="BH1062" s="942"/>
      <c r="BI1062" s="84"/>
      <c r="BL1062" s="84"/>
      <c r="BM1062" s="84"/>
      <c r="BN1062" s="84"/>
      <c r="BO1062" s="84"/>
      <c r="BP1062" s="84"/>
      <c r="BQ1062" s="84"/>
      <c r="BR1062" s="84"/>
      <c r="BS1062" s="942"/>
      <c r="BT1062" s="942"/>
      <c r="BU1062" s="942"/>
      <c r="BV1062" s="84"/>
    </row>
    <row r="1063" spans="14:74" ht="14.25">
      <c r="N1063" s="84"/>
      <c r="O1063" s="84"/>
      <c r="P1063" s="84"/>
      <c r="Q1063" s="84"/>
      <c r="R1063" s="84"/>
      <c r="S1063" s="84"/>
      <c r="T1063" s="84"/>
      <c r="U1063" s="84"/>
      <c r="V1063" s="84"/>
      <c r="W1063" s="84"/>
      <c r="Y1063" s="84"/>
      <c r="Z1063" s="84"/>
      <c r="AA1063" s="84"/>
      <c r="AB1063" s="84"/>
      <c r="AC1063" s="84"/>
      <c r="AD1063" s="84"/>
      <c r="AE1063" s="84"/>
      <c r="AF1063" s="84"/>
      <c r="AG1063" s="84"/>
      <c r="AH1063" s="84"/>
      <c r="AI1063" s="84"/>
      <c r="AL1063" s="84"/>
      <c r="AM1063" s="84"/>
      <c r="AN1063" s="84"/>
      <c r="AO1063" s="84"/>
      <c r="AP1063" s="84"/>
      <c r="AQ1063" s="84"/>
      <c r="AR1063" s="84"/>
      <c r="AS1063" s="84"/>
      <c r="AT1063" s="84"/>
      <c r="AU1063" s="84"/>
      <c r="AV1063" s="84"/>
      <c r="AY1063" s="84"/>
      <c r="AZ1063" s="84"/>
      <c r="BA1063" s="84"/>
      <c r="BB1063" s="84"/>
      <c r="BC1063" s="84"/>
      <c r="BD1063" s="84"/>
      <c r="BE1063" s="84"/>
      <c r="BF1063" s="942"/>
      <c r="BG1063" s="942"/>
      <c r="BH1063" s="942"/>
      <c r="BI1063" s="84"/>
      <c r="BL1063" s="84"/>
      <c r="BM1063" s="84"/>
      <c r="BN1063" s="84"/>
      <c r="BO1063" s="84"/>
      <c r="BP1063" s="84"/>
      <c r="BQ1063" s="84"/>
      <c r="BR1063" s="84"/>
      <c r="BS1063" s="942"/>
      <c r="BT1063" s="942"/>
      <c r="BU1063" s="942"/>
      <c r="BV1063" s="84"/>
    </row>
    <row r="1064" spans="14:74" ht="14.25">
      <c r="N1064" s="84"/>
      <c r="O1064" s="84"/>
      <c r="P1064" s="84"/>
      <c r="Q1064" s="84"/>
      <c r="R1064" s="84"/>
      <c r="S1064" s="84"/>
      <c r="T1064" s="84"/>
      <c r="U1064" s="84"/>
      <c r="V1064" s="84"/>
      <c r="W1064" s="84"/>
      <c r="Y1064" s="84"/>
      <c r="Z1064" s="84"/>
      <c r="AA1064" s="84"/>
      <c r="AB1064" s="84"/>
      <c r="AC1064" s="84"/>
      <c r="AD1064" s="84"/>
      <c r="AE1064" s="84"/>
      <c r="AF1064" s="84"/>
      <c r="AG1064" s="84"/>
      <c r="AH1064" s="84"/>
      <c r="AI1064" s="84"/>
      <c r="AL1064" s="84"/>
      <c r="AM1064" s="84"/>
      <c r="AN1064" s="84"/>
      <c r="AO1064" s="84"/>
      <c r="AP1064" s="84"/>
      <c r="AQ1064" s="84"/>
      <c r="AR1064" s="84"/>
      <c r="AS1064" s="84"/>
      <c r="AT1064" s="84"/>
      <c r="AU1064" s="84"/>
      <c r="AV1064" s="84"/>
      <c r="AY1064" s="84"/>
      <c r="AZ1064" s="84"/>
      <c r="BA1064" s="84"/>
      <c r="BB1064" s="84"/>
      <c r="BC1064" s="84"/>
      <c r="BD1064" s="84"/>
      <c r="BE1064" s="84"/>
      <c r="BF1064" s="942"/>
      <c r="BG1064" s="942"/>
      <c r="BH1064" s="942"/>
      <c r="BI1064" s="84"/>
      <c r="BL1064" s="84"/>
      <c r="BM1064" s="84"/>
      <c r="BN1064" s="84"/>
      <c r="BO1064" s="84"/>
      <c r="BP1064" s="84"/>
      <c r="BQ1064" s="84"/>
      <c r="BR1064" s="84"/>
      <c r="BS1064" s="942"/>
      <c r="BT1064" s="942"/>
      <c r="BU1064" s="942"/>
      <c r="BV1064" s="84"/>
    </row>
    <row r="1065" spans="14:74" ht="14.25">
      <c r="N1065" s="84"/>
      <c r="O1065" s="84"/>
      <c r="P1065" s="84"/>
      <c r="Q1065" s="84"/>
      <c r="R1065" s="84"/>
      <c r="S1065" s="84"/>
      <c r="T1065" s="84"/>
      <c r="U1065" s="84"/>
      <c r="V1065" s="84"/>
      <c r="W1065" s="84"/>
      <c r="Y1065" s="84"/>
      <c r="Z1065" s="84"/>
      <c r="AA1065" s="84"/>
      <c r="AB1065" s="84"/>
      <c r="AC1065" s="84"/>
      <c r="AD1065" s="84"/>
      <c r="AE1065" s="84"/>
      <c r="AF1065" s="84"/>
      <c r="AG1065" s="84"/>
      <c r="AH1065" s="84"/>
      <c r="AI1065" s="84"/>
      <c r="AL1065" s="84"/>
      <c r="AM1065" s="84"/>
      <c r="AN1065" s="84"/>
      <c r="AO1065" s="84"/>
      <c r="AP1065" s="84"/>
      <c r="AQ1065" s="84"/>
      <c r="AR1065" s="84"/>
      <c r="AS1065" s="84"/>
      <c r="AT1065" s="84"/>
      <c r="AU1065" s="84"/>
      <c r="AV1065" s="84"/>
      <c r="AY1065" s="84"/>
      <c r="AZ1065" s="84"/>
      <c r="BA1065" s="84"/>
      <c r="BB1065" s="84"/>
      <c r="BC1065" s="84"/>
      <c r="BD1065" s="84"/>
      <c r="BE1065" s="84"/>
      <c r="BF1065" s="942"/>
      <c r="BG1065" s="942"/>
      <c r="BH1065" s="942"/>
      <c r="BI1065" s="84"/>
      <c r="BL1065" s="84"/>
      <c r="BM1065" s="84"/>
      <c r="BN1065" s="84"/>
      <c r="BO1065" s="84"/>
      <c r="BP1065" s="84"/>
      <c r="BQ1065" s="84"/>
      <c r="BR1065" s="84"/>
      <c r="BS1065" s="942"/>
      <c r="BT1065" s="942"/>
      <c r="BU1065" s="942"/>
      <c r="BV1065" s="84"/>
    </row>
    <row r="1066" spans="14:74" ht="14.25">
      <c r="N1066" s="84"/>
      <c r="O1066" s="84"/>
      <c r="P1066" s="84"/>
      <c r="Q1066" s="84"/>
      <c r="R1066" s="84"/>
      <c r="S1066" s="84"/>
      <c r="T1066" s="84"/>
      <c r="U1066" s="84"/>
      <c r="V1066" s="84"/>
      <c r="W1066" s="84"/>
      <c r="Y1066" s="84"/>
      <c r="Z1066" s="84"/>
      <c r="AA1066" s="84"/>
      <c r="AB1066" s="84"/>
      <c r="AC1066" s="84"/>
      <c r="AD1066" s="84"/>
      <c r="AE1066" s="84"/>
      <c r="AF1066" s="84"/>
      <c r="AG1066" s="84"/>
      <c r="AH1066" s="84"/>
      <c r="AI1066" s="84"/>
      <c r="AL1066" s="84"/>
      <c r="AM1066" s="84"/>
      <c r="AN1066" s="84"/>
      <c r="AO1066" s="84"/>
      <c r="AP1066" s="84"/>
      <c r="AQ1066" s="84"/>
      <c r="AR1066" s="84"/>
      <c r="AS1066" s="84"/>
      <c r="AT1066" s="84"/>
      <c r="AU1066" s="84"/>
      <c r="AV1066" s="84"/>
      <c r="AY1066" s="84"/>
      <c r="AZ1066" s="84"/>
      <c r="BA1066" s="84"/>
      <c r="BB1066" s="84"/>
      <c r="BC1066" s="84"/>
      <c r="BD1066" s="84"/>
      <c r="BE1066" s="84"/>
      <c r="BF1066" s="942"/>
      <c r="BG1066" s="942"/>
      <c r="BH1066" s="942"/>
      <c r="BI1066" s="84"/>
      <c r="BL1066" s="84"/>
      <c r="BM1066" s="84"/>
      <c r="BN1066" s="84"/>
      <c r="BO1066" s="84"/>
      <c r="BP1066" s="84"/>
      <c r="BQ1066" s="84"/>
      <c r="BR1066" s="84"/>
      <c r="BS1066" s="942"/>
      <c r="BT1066" s="942"/>
      <c r="BU1066" s="942"/>
      <c r="BV1066" s="84"/>
    </row>
    <row r="1067" spans="14:74" ht="14.25">
      <c r="N1067" s="84"/>
      <c r="O1067" s="84"/>
      <c r="P1067" s="84"/>
      <c r="Q1067" s="84"/>
      <c r="R1067" s="84"/>
      <c r="S1067" s="84"/>
      <c r="T1067" s="84"/>
      <c r="U1067" s="84"/>
      <c r="V1067" s="84"/>
      <c r="W1067" s="84"/>
      <c r="Y1067" s="84"/>
      <c r="Z1067" s="84"/>
      <c r="AA1067" s="84"/>
      <c r="AB1067" s="84"/>
      <c r="AC1067" s="84"/>
      <c r="AD1067" s="84"/>
      <c r="AE1067" s="84"/>
      <c r="AF1067" s="84"/>
      <c r="AG1067" s="84"/>
      <c r="AH1067" s="84"/>
      <c r="AI1067" s="84"/>
      <c r="AL1067" s="84"/>
      <c r="AM1067" s="84"/>
      <c r="AN1067" s="84"/>
      <c r="AO1067" s="84"/>
      <c r="AP1067" s="84"/>
      <c r="AQ1067" s="84"/>
      <c r="AR1067" s="84"/>
      <c r="AS1067" s="84"/>
      <c r="AT1067" s="84"/>
      <c r="AU1067" s="84"/>
      <c r="AV1067" s="84"/>
      <c r="AY1067" s="84"/>
      <c r="AZ1067" s="84"/>
      <c r="BA1067" s="84"/>
      <c r="BB1067" s="84"/>
      <c r="BC1067" s="84"/>
      <c r="BD1067" s="84"/>
      <c r="BE1067" s="84"/>
      <c r="BF1067" s="942"/>
      <c r="BG1067" s="942"/>
      <c r="BH1067" s="942"/>
      <c r="BI1067" s="84"/>
      <c r="BL1067" s="84"/>
      <c r="BM1067" s="84"/>
      <c r="BN1067" s="84"/>
      <c r="BO1067" s="84"/>
      <c r="BP1067" s="84"/>
      <c r="BQ1067" s="84"/>
      <c r="BR1067" s="84"/>
      <c r="BS1067" s="942"/>
      <c r="BT1067" s="942"/>
      <c r="BU1067" s="942"/>
      <c r="BV1067" s="84"/>
    </row>
    <row r="1068" spans="14:74" ht="14.25">
      <c r="N1068" s="84"/>
      <c r="O1068" s="84"/>
      <c r="P1068" s="84"/>
      <c r="Q1068" s="84"/>
      <c r="R1068" s="84"/>
      <c r="S1068" s="84"/>
      <c r="T1068" s="84"/>
      <c r="U1068" s="84"/>
      <c r="V1068" s="84"/>
      <c r="W1068" s="84"/>
      <c r="Y1068" s="84"/>
      <c r="Z1068" s="84"/>
      <c r="AA1068" s="84"/>
      <c r="AB1068" s="84"/>
      <c r="AC1068" s="84"/>
      <c r="AD1068" s="84"/>
      <c r="AE1068" s="84"/>
      <c r="AF1068" s="84"/>
      <c r="AG1068" s="84"/>
      <c r="AH1068" s="84"/>
      <c r="AI1068" s="84"/>
      <c r="AL1068" s="84"/>
      <c r="AM1068" s="84"/>
      <c r="AN1068" s="84"/>
      <c r="AO1068" s="84"/>
      <c r="AP1068" s="84"/>
      <c r="AQ1068" s="84"/>
      <c r="AR1068" s="84"/>
      <c r="AS1068" s="84"/>
      <c r="AT1068" s="84"/>
      <c r="AU1068" s="84"/>
      <c r="AV1068" s="84"/>
      <c r="AY1068" s="84"/>
      <c r="AZ1068" s="84"/>
      <c r="BA1068" s="84"/>
      <c r="BB1068" s="84"/>
      <c r="BC1068" s="84"/>
      <c r="BD1068" s="84"/>
      <c r="BE1068" s="84"/>
      <c r="BF1068" s="942"/>
      <c r="BG1068" s="942"/>
      <c r="BH1068" s="942"/>
      <c r="BI1068" s="84"/>
      <c r="BL1068" s="84"/>
      <c r="BM1068" s="84"/>
      <c r="BN1068" s="84"/>
      <c r="BO1068" s="84"/>
      <c r="BP1068" s="84"/>
      <c r="BQ1068" s="84"/>
      <c r="BR1068" s="84"/>
      <c r="BS1068" s="942"/>
      <c r="BT1068" s="942"/>
      <c r="BU1068" s="942"/>
      <c r="BV1068" s="84"/>
    </row>
    <row r="1069" spans="14:74" ht="14.25">
      <c r="N1069" s="84"/>
      <c r="O1069" s="84"/>
      <c r="P1069" s="84"/>
      <c r="Q1069" s="84"/>
      <c r="R1069" s="84"/>
      <c r="S1069" s="84"/>
      <c r="T1069" s="84"/>
      <c r="U1069" s="84"/>
      <c r="V1069" s="84"/>
      <c r="W1069" s="84"/>
      <c r="Y1069" s="84"/>
      <c r="Z1069" s="84"/>
      <c r="AA1069" s="84"/>
      <c r="AB1069" s="84"/>
      <c r="AC1069" s="84"/>
      <c r="AD1069" s="84"/>
      <c r="AE1069" s="84"/>
      <c r="AF1069" s="84"/>
      <c r="AG1069" s="84"/>
      <c r="AH1069" s="84"/>
      <c r="AI1069" s="84"/>
      <c r="AL1069" s="84"/>
      <c r="AM1069" s="84"/>
      <c r="AN1069" s="84"/>
      <c r="AO1069" s="84"/>
      <c r="AP1069" s="84"/>
      <c r="AQ1069" s="84"/>
      <c r="AR1069" s="84"/>
      <c r="AS1069" s="84"/>
      <c r="AT1069" s="84"/>
      <c r="AU1069" s="84"/>
      <c r="AV1069" s="84"/>
      <c r="AY1069" s="84"/>
      <c r="AZ1069" s="84"/>
      <c r="BA1069" s="84"/>
      <c r="BB1069" s="84"/>
      <c r="BC1069" s="84"/>
      <c r="BD1069" s="84"/>
      <c r="BE1069" s="84"/>
      <c r="BF1069" s="942"/>
      <c r="BG1069" s="942"/>
      <c r="BH1069" s="942"/>
      <c r="BI1069" s="84"/>
      <c r="BL1069" s="84"/>
      <c r="BM1069" s="84"/>
      <c r="BN1069" s="84"/>
      <c r="BO1069" s="84"/>
      <c r="BP1069" s="84"/>
      <c r="BQ1069" s="84"/>
      <c r="BR1069" s="84"/>
      <c r="BS1069" s="942"/>
      <c r="BT1069" s="942"/>
      <c r="BU1069" s="942"/>
      <c r="BV1069" s="84"/>
    </row>
    <row r="1070" spans="14:74" ht="14.25">
      <c r="N1070" s="84"/>
      <c r="O1070" s="84"/>
      <c r="P1070" s="84"/>
      <c r="Q1070" s="84"/>
      <c r="R1070" s="84"/>
      <c r="S1070" s="84"/>
      <c r="T1070" s="84"/>
      <c r="U1070" s="84"/>
      <c r="V1070" s="84"/>
      <c r="W1070" s="84"/>
      <c r="Y1070" s="84"/>
      <c r="Z1070" s="84"/>
      <c r="AA1070" s="84"/>
      <c r="AB1070" s="84"/>
      <c r="AC1070" s="84"/>
      <c r="AD1070" s="84"/>
      <c r="AE1070" s="84"/>
      <c r="AF1070" s="84"/>
      <c r="AG1070" s="84"/>
      <c r="AH1070" s="84"/>
      <c r="AI1070" s="84"/>
      <c r="AL1070" s="84"/>
      <c r="AM1070" s="84"/>
      <c r="AN1070" s="84"/>
      <c r="AO1070" s="84"/>
      <c r="AP1070" s="84"/>
      <c r="AQ1070" s="84"/>
      <c r="AR1070" s="84"/>
      <c r="AS1070" s="84"/>
      <c r="AT1070" s="84"/>
      <c r="AU1070" s="84"/>
      <c r="AV1070" s="84"/>
      <c r="AY1070" s="84"/>
      <c r="AZ1070" s="84"/>
      <c r="BA1070" s="84"/>
      <c r="BB1070" s="84"/>
      <c r="BC1070" s="84"/>
      <c r="BD1070" s="84"/>
      <c r="BE1070" s="84"/>
      <c r="BF1070" s="942"/>
      <c r="BG1070" s="942"/>
      <c r="BH1070" s="942"/>
      <c r="BI1070" s="84"/>
      <c r="BL1070" s="84"/>
      <c r="BM1070" s="84"/>
      <c r="BN1070" s="84"/>
      <c r="BO1070" s="84"/>
      <c r="BP1070" s="84"/>
      <c r="BQ1070" s="84"/>
      <c r="BR1070" s="84"/>
      <c r="BS1070" s="942"/>
      <c r="BT1070" s="942"/>
      <c r="BU1070" s="942"/>
      <c r="BV1070" s="84"/>
    </row>
    <row r="1071" spans="14:74" ht="14.25">
      <c r="N1071" s="84"/>
      <c r="O1071" s="84"/>
      <c r="P1071" s="84"/>
      <c r="Q1071" s="84"/>
      <c r="R1071" s="84"/>
      <c r="S1071" s="84"/>
      <c r="T1071" s="84"/>
      <c r="U1071" s="84"/>
      <c r="V1071" s="84"/>
      <c r="W1071" s="84"/>
      <c r="Y1071" s="84"/>
      <c r="Z1071" s="84"/>
      <c r="AA1071" s="84"/>
      <c r="AB1071" s="84"/>
      <c r="AC1071" s="84"/>
      <c r="AD1071" s="84"/>
      <c r="AE1071" s="84"/>
      <c r="AF1071" s="84"/>
      <c r="AG1071" s="84"/>
      <c r="AH1071" s="84"/>
      <c r="AI1071" s="84"/>
      <c r="AL1071" s="84"/>
      <c r="AM1071" s="84"/>
      <c r="AN1071" s="84"/>
      <c r="AO1071" s="84"/>
      <c r="AP1071" s="84"/>
      <c r="AQ1071" s="84"/>
      <c r="AR1071" s="84"/>
      <c r="AS1071" s="84"/>
      <c r="AT1071" s="84"/>
      <c r="AU1071" s="84"/>
      <c r="AV1071" s="84"/>
      <c r="AY1071" s="84"/>
      <c r="AZ1071" s="84"/>
      <c r="BA1071" s="84"/>
      <c r="BB1071" s="84"/>
      <c r="BC1071" s="84"/>
      <c r="BD1071" s="84"/>
      <c r="BE1071" s="84"/>
      <c r="BF1071" s="942"/>
      <c r="BG1071" s="942"/>
      <c r="BH1071" s="942"/>
      <c r="BI1071" s="84"/>
      <c r="BL1071" s="84"/>
      <c r="BM1071" s="84"/>
      <c r="BN1071" s="84"/>
      <c r="BO1071" s="84"/>
      <c r="BP1071" s="84"/>
      <c r="BQ1071" s="84"/>
      <c r="BR1071" s="84"/>
      <c r="BS1071" s="942"/>
      <c r="BT1071" s="942"/>
      <c r="BU1071" s="942"/>
      <c r="BV1071" s="84"/>
    </row>
    <row r="1072" spans="14:74" ht="14.25">
      <c r="N1072" s="84"/>
      <c r="O1072" s="84"/>
      <c r="P1072" s="84"/>
      <c r="Q1072" s="84"/>
      <c r="R1072" s="84"/>
      <c r="S1072" s="84"/>
      <c r="T1072" s="84"/>
      <c r="U1072" s="84"/>
      <c r="V1072" s="84"/>
      <c r="W1072" s="84"/>
      <c r="Y1072" s="84"/>
      <c r="Z1072" s="84"/>
      <c r="AA1072" s="84"/>
      <c r="AB1072" s="84"/>
      <c r="AC1072" s="84"/>
      <c r="AD1072" s="84"/>
      <c r="AE1072" s="84"/>
      <c r="AF1072" s="84"/>
      <c r="AG1072" s="84"/>
      <c r="AH1072" s="84"/>
      <c r="AI1072" s="84"/>
      <c r="AL1072" s="84"/>
      <c r="AM1072" s="84"/>
      <c r="AN1072" s="84"/>
      <c r="AO1072" s="84"/>
      <c r="AP1072" s="84"/>
      <c r="AQ1072" s="84"/>
      <c r="AR1072" s="84"/>
      <c r="AS1072" s="84"/>
      <c r="AT1072" s="84"/>
      <c r="AU1072" s="84"/>
      <c r="AV1072" s="84"/>
      <c r="AY1072" s="84"/>
      <c r="AZ1072" s="84"/>
      <c r="BA1072" s="84"/>
      <c r="BB1072" s="84"/>
      <c r="BC1072" s="84"/>
      <c r="BD1072" s="84"/>
      <c r="BE1072" s="84"/>
      <c r="BF1072" s="942"/>
      <c r="BG1072" s="942"/>
      <c r="BH1072" s="942"/>
      <c r="BI1072" s="84"/>
      <c r="BL1072" s="84"/>
      <c r="BM1072" s="84"/>
      <c r="BN1072" s="84"/>
      <c r="BO1072" s="84"/>
      <c r="BP1072" s="84"/>
      <c r="BQ1072" s="84"/>
      <c r="BR1072" s="84"/>
      <c r="BS1072" s="942"/>
      <c r="BT1072" s="942"/>
      <c r="BU1072" s="942"/>
      <c r="BV1072" s="84"/>
    </row>
    <row r="1073" spans="14:74" ht="14.25">
      <c r="N1073" s="84"/>
      <c r="O1073" s="84"/>
      <c r="P1073" s="84"/>
      <c r="Q1073" s="84"/>
      <c r="R1073" s="84"/>
      <c r="S1073" s="84"/>
      <c r="T1073" s="84"/>
      <c r="U1073" s="84"/>
      <c r="V1073" s="84"/>
      <c r="W1073" s="84"/>
      <c r="Y1073" s="84"/>
      <c r="Z1073" s="84"/>
      <c r="AA1073" s="84"/>
      <c r="AB1073" s="84"/>
      <c r="AC1073" s="84"/>
      <c r="AD1073" s="84"/>
      <c r="AE1073" s="84"/>
      <c r="AF1073" s="84"/>
      <c r="AG1073" s="84"/>
      <c r="AH1073" s="84"/>
      <c r="AI1073" s="84"/>
      <c r="AL1073" s="84"/>
      <c r="AM1073" s="84"/>
      <c r="AN1073" s="84"/>
      <c r="AO1073" s="84"/>
      <c r="AP1073" s="84"/>
      <c r="AQ1073" s="84"/>
      <c r="AR1073" s="84"/>
      <c r="AS1073" s="84"/>
      <c r="AT1073" s="84"/>
      <c r="AU1073" s="84"/>
      <c r="AV1073" s="84"/>
      <c r="AY1073" s="84"/>
      <c r="AZ1073" s="84"/>
      <c r="BA1073" s="84"/>
      <c r="BB1073" s="84"/>
      <c r="BC1073" s="84"/>
      <c r="BD1073" s="84"/>
      <c r="BE1073" s="84"/>
      <c r="BF1073" s="942"/>
      <c r="BG1073" s="942"/>
      <c r="BH1073" s="942"/>
      <c r="BI1073" s="84"/>
      <c r="BL1073" s="84"/>
      <c r="BM1073" s="84"/>
      <c r="BN1073" s="84"/>
      <c r="BO1073" s="84"/>
      <c r="BP1073" s="84"/>
      <c r="BQ1073" s="84"/>
      <c r="BR1073" s="84"/>
      <c r="BS1073" s="942"/>
      <c r="BT1073" s="942"/>
      <c r="BU1073" s="942"/>
      <c r="BV1073" s="84"/>
    </row>
    <row r="1074" spans="14:74" ht="14.25">
      <c r="N1074" s="84"/>
      <c r="O1074" s="84"/>
      <c r="P1074" s="84"/>
      <c r="Q1074" s="84"/>
      <c r="R1074" s="84"/>
      <c r="S1074" s="84"/>
      <c r="T1074" s="84"/>
      <c r="U1074" s="84"/>
      <c r="V1074" s="84"/>
      <c r="W1074" s="84"/>
      <c r="Y1074" s="84"/>
      <c r="Z1074" s="84"/>
      <c r="AA1074" s="84"/>
      <c r="AB1074" s="84"/>
      <c r="AC1074" s="84"/>
      <c r="AD1074" s="84"/>
      <c r="AE1074" s="84"/>
      <c r="AF1074" s="84"/>
      <c r="AG1074" s="84"/>
      <c r="AH1074" s="84"/>
      <c r="AI1074" s="84"/>
      <c r="AL1074" s="84"/>
      <c r="AM1074" s="84"/>
      <c r="AN1074" s="84"/>
      <c r="AO1074" s="84"/>
      <c r="AP1074" s="84"/>
      <c r="AQ1074" s="84"/>
      <c r="AR1074" s="84"/>
      <c r="AS1074" s="84"/>
      <c r="AT1074" s="84"/>
      <c r="AU1074" s="84"/>
      <c r="AV1074" s="84"/>
      <c r="AY1074" s="84"/>
      <c r="AZ1074" s="84"/>
      <c r="BA1074" s="84"/>
      <c r="BB1074" s="84"/>
      <c r="BC1074" s="84"/>
      <c r="BD1074" s="84"/>
      <c r="BE1074" s="84"/>
      <c r="BF1074" s="942"/>
      <c r="BG1074" s="942"/>
      <c r="BH1074" s="942"/>
      <c r="BI1074" s="84"/>
      <c r="BL1074" s="84"/>
      <c r="BM1074" s="84"/>
      <c r="BN1074" s="84"/>
      <c r="BO1074" s="84"/>
      <c r="BP1074" s="84"/>
      <c r="BQ1074" s="84"/>
      <c r="BR1074" s="84"/>
      <c r="BS1074" s="942"/>
      <c r="BT1074" s="942"/>
      <c r="BU1074" s="942"/>
      <c r="BV1074" s="84"/>
    </row>
    <row r="1075" spans="14:74" ht="14.25">
      <c r="N1075" s="84"/>
      <c r="O1075" s="84"/>
      <c r="P1075" s="84"/>
      <c r="Q1075" s="84"/>
      <c r="R1075" s="84"/>
      <c r="S1075" s="84"/>
      <c r="T1075" s="84"/>
      <c r="U1075" s="84"/>
      <c r="V1075" s="84"/>
      <c r="W1075" s="84"/>
      <c r="Y1075" s="84"/>
      <c r="Z1075" s="84"/>
      <c r="AA1075" s="84"/>
      <c r="AB1075" s="84"/>
      <c r="AC1075" s="84"/>
      <c r="AD1075" s="84"/>
      <c r="AE1075" s="84"/>
      <c r="AF1075" s="84"/>
      <c r="AG1075" s="84"/>
      <c r="AH1075" s="84"/>
      <c r="AI1075" s="84"/>
      <c r="AL1075" s="84"/>
      <c r="AM1075" s="84"/>
      <c r="AN1075" s="84"/>
      <c r="AO1075" s="84"/>
      <c r="AP1075" s="84"/>
      <c r="AQ1075" s="84"/>
      <c r="AR1075" s="84"/>
      <c r="AS1075" s="84"/>
      <c r="AT1075" s="84"/>
      <c r="AU1075" s="84"/>
      <c r="AV1075" s="84"/>
      <c r="AY1075" s="84"/>
      <c r="AZ1075" s="84"/>
      <c r="BA1075" s="84"/>
      <c r="BB1075" s="84"/>
      <c r="BC1075" s="84"/>
      <c r="BD1075" s="84"/>
      <c r="BE1075" s="84"/>
      <c r="BF1075" s="942"/>
      <c r="BG1075" s="942"/>
      <c r="BH1075" s="942"/>
      <c r="BI1075" s="84"/>
      <c r="BL1075" s="84"/>
      <c r="BM1075" s="84"/>
      <c r="BN1075" s="84"/>
      <c r="BO1075" s="84"/>
      <c r="BP1075" s="84"/>
      <c r="BQ1075" s="84"/>
      <c r="BR1075" s="84"/>
      <c r="BS1075" s="942"/>
      <c r="BT1075" s="942"/>
      <c r="BU1075" s="942"/>
      <c r="BV1075" s="84"/>
    </row>
    <row r="1076" spans="14:74" ht="14.25">
      <c r="N1076" s="84"/>
      <c r="O1076" s="84"/>
      <c r="P1076" s="84"/>
      <c r="Q1076" s="84"/>
      <c r="R1076" s="84"/>
      <c r="S1076" s="84"/>
      <c r="T1076" s="84"/>
      <c r="U1076" s="84"/>
      <c r="V1076" s="84"/>
      <c r="W1076" s="84"/>
      <c r="Y1076" s="84"/>
      <c r="Z1076" s="84"/>
      <c r="AA1076" s="84"/>
      <c r="AB1076" s="84"/>
      <c r="AC1076" s="84"/>
      <c r="AD1076" s="84"/>
      <c r="AE1076" s="84"/>
      <c r="AF1076" s="84"/>
      <c r="AG1076" s="84"/>
      <c r="AH1076" s="84"/>
      <c r="AI1076" s="84"/>
      <c r="AL1076" s="84"/>
      <c r="AM1076" s="84"/>
      <c r="AN1076" s="84"/>
      <c r="AO1076" s="84"/>
      <c r="AP1076" s="84"/>
      <c r="AQ1076" s="84"/>
      <c r="AR1076" s="84"/>
      <c r="AS1076" s="84"/>
      <c r="AT1076" s="84"/>
      <c r="AU1076" s="84"/>
      <c r="AV1076" s="84"/>
      <c r="AY1076" s="84"/>
      <c r="AZ1076" s="84"/>
      <c r="BA1076" s="84"/>
      <c r="BB1076" s="84"/>
      <c r="BC1076" s="84"/>
      <c r="BD1076" s="84"/>
      <c r="BE1076" s="84"/>
      <c r="BF1076" s="942"/>
      <c r="BG1076" s="942"/>
      <c r="BH1076" s="942"/>
      <c r="BI1076" s="84"/>
      <c r="BL1076" s="84"/>
      <c r="BM1076" s="84"/>
      <c r="BN1076" s="84"/>
      <c r="BO1076" s="84"/>
      <c r="BP1076" s="84"/>
      <c r="BQ1076" s="84"/>
      <c r="BR1076" s="84"/>
      <c r="BS1076" s="942"/>
      <c r="BT1076" s="942"/>
      <c r="BU1076" s="942"/>
      <c r="BV1076" s="84"/>
    </row>
    <row r="1077" spans="14:74" ht="14.25">
      <c r="N1077" s="84"/>
      <c r="O1077" s="84"/>
      <c r="P1077" s="84"/>
      <c r="Q1077" s="84"/>
      <c r="R1077" s="84"/>
      <c r="S1077" s="84"/>
      <c r="T1077" s="84"/>
      <c r="U1077" s="84"/>
      <c r="V1077" s="84"/>
      <c r="W1077" s="84"/>
      <c r="Y1077" s="84"/>
      <c r="Z1077" s="84"/>
      <c r="AA1077" s="84"/>
      <c r="AB1077" s="84"/>
      <c r="AC1077" s="84"/>
      <c r="AD1077" s="84"/>
      <c r="AE1077" s="84"/>
      <c r="AF1077" s="84"/>
      <c r="AG1077" s="84"/>
      <c r="AH1077" s="84"/>
      <c r="AI1077" s="84"/>
      <c r="AL1077" s="84"/>
      <c r="AM1077" s="84"/>
      <c r="AN1077" s="84"/>
      <c r="AO1077" s="84"/>
      <c r="AP1077" s="84"/>
      <c r="AQ1077" s="84"/>
      <c r="AR1077" s="84"/>
      <c r="AS1077" s="84"/>
      <c r="AT1077" s="84"/>
      <c r="AU1077" s="84"/>
      <c r="AV1077" s="84"/>
      <c r="AY1077" s="84"/>
      <c r="AZ1077" s="84"/>
      <c r="BA1077" s="84"/>
      <c r="BB1077" s="84"/>
      <c r="BC1077" s="84"/>
      <c r="BD1077" s="84"/>
      <c r="BE1077" s="84"/>
      <c r="BF1077" s="942"/>
      <c r="BG1077" s="942"/>
      <c r="BH1077" s="942"/>
      <c r="BI1077" s="84"/>
      <c r="BL1077" s="84"/>
      <c r="BM1077" s="84"/>
      <c r="BN1077" s="84"/>
      <c r="BO1077" s="84"/>
      <c r="BP1077" s="84"/>
      <c r="BQ1077" s="84"/>
      <c r="BR1077" s="84"/>
      <c r="BS1077" s="942"/>
      <c r="BT1077" s="942"/>
      <c r="BU1077" s="942"/>
      <c r="BV1077" s="84"/>
    </row>
    <row r="1078" spans="14:74" ht="14.25">
      <c r="N1078" s="84"/>
      <c r="O1078" s="84"/>
      <c r="P1078" s="84"/>
      <c r="Q1078" s="84"/>
      <c r="R1078" s="84"/>
      <c r="S1078" s="84"/>
      <c r="T1078" s="84"/>
      <c r="U1078" s="84"/>
      <c r="V1078" s="84"/>
      <c r="W1078" s="84"/>
      <c r="Y1078" s="84"/>
      <c r="Z1078" s="84"/>
      <c r="AA1078" s="84"/>
      <c r="AB1078" s="84"/>
      <c r="AC1078" s="84"/>
      <c r="AD1078" s="84"/>
      <c r="AE1078" s="84"/>
      <c r="AF1078" s="84"/>
      <c r="AG1078" s="84"/>
      <c r="AH1078" s="84"/>
      <c r="AI1078" s="84"/>
      <c r="AL1078" s="84"/>
      <c r="AM1078" s="84"/>
      <c r="AN1078" s="84"/>
      <c r="AO1078" s="84"/>
      <c r="AP1078" s="84"/>
      <c r="AQ1078" s="84"/>
      <c r="AR1078" s="84"/>
      <c r="AS1078" s="84"/>
      <c r="AT1078" s="84"/>
      <c r="AU1078" s="84"/>
      <c r="AV1078" s="84"/>
      <c r="AY1078" s="84"/>
      <c r="AZ1078" s="84"/>
      <c r="BA1078" s="84"/>
      <c r="BB1078" s="84"/>
      <c r="BC1078" s="84"/>
      <c r="BD1078" s="84"/>
      <c r="BE1078" s="84"/>
      <c r="BF1078" s="942"/>
      <c r="BG1078" s="942"/>
      <c r="BH1078" s="942"/>
      <c r="BI1078" s="84"/>
      <c r="BL1078" s="84"/>
      <c r="BM1078" s="84"/>
      <c r="BN1078" s="84"/>
      <c r="BO1078" s="84"/>
      <c r="BP1078" s="84"/>
      <c r="BQ1078" s="84"/>
      <c r="BR1078" s="84"/>
      <c r="BS1078" s="942"/>
      <c r="BT1078" s="942"/>
      <c r="BU1078" s="942"/>
      <c r="BV1078" s="84"/>
    </row>
    <row r="1079" spans="14:74" ht="14.25">
      <c r="N1079" s="84"/>
      <c r="O1079" s="84"/>
      <c r="P1079" s="84"/>
      <c r="Q1079" s="84"/>
      <c r="R1079" s="84"/>
      <c r="S1079" s="84"/>
      <c r="T1079" s="84"/>
      <c r="U1079" s="84"/>
      <c r="V1079" s="84"/>
      <c r="W1079" s="84"/>
      <c r="Y1079" s="84"/>
      <c r="Z1079" s="84"/>
      <c r="AA1079" s="84"/>
      <c r="AB1079" s="84"/>
      <c r="AC1079" s="84"/>
      <c r="AD1079" s="84"/>
      <c r="AE1079" s="84"/>
      <c r="AF1079" s="84"/>
      <c r="AG1079" s="84"/>
      <c r="AH1079" s="84"/>
      <c r="AI1079" s="84"/>
      <c r="AL1079" s="84"/>
      <c r="AM1079" s="84"/>
      <c r="AN1079" s="84"/>
      <c r="AO1079" s="84"/>
      <c r="AP1079" s="84"/>
      <c r="AQ1079" s="84"/>
      <c r="AR1079" s="84"/>
      <c r="AS1079" s="84"/>
      <c r="AT1079" s="84"/>
      <c r="AU1079" s="84"/>
      <c r="AV1079" s="84"/>
      <c r="AY1079" s="84"/>
      <c r="AZ1079" s="84"/>
      <c r="BA1079" s="84"/>
      <c r="BB1079" s="84"/>
      <c r="BC1079" s="84"/>
      <c r="BD1079" s="84"/>
      <c r="BE1079" s="84"/>
      <c r="BF1079" s="942"/>
      <c r="BG1079" s="942"/>
      <c r="BH1079" s="942"/>
      <c r="BI1079" s="84"/>
      <c r="BL1079" s="84"/>
      <c r="BM1079" s="84"/>
      <c r="BN1079" s="84"/>
      <c r="BO1079" s="84"/>
      <c r="BP1079" s="84"/>
      <c r="BQ1079" s="84"/>
      <c r="BR1079" s="84"/>
      <c r="BS1079" s="942"/>
      <c r="BT1079" s="942"/>
      <c r="BU1079" s="942"/>
      <c r="BV1079" s="84"/>
    </row>
    <row r="1080" spans="14:74" ht="14.25">
      <c r="N1080" s="84"/>
      <c r="O1080" s="84"/>
      <c r="P1080" s="84"/>
      <c r="Q1080" s="84"/>
      <c r="R1080" s="84"/>
      <c r="S1080" s="84"/>
      <c r="T1080" s="84"/>
      <c r="U1080" s="84"/>
      <c r="V1080" s="84"/>
      <c r="W1080" s="84"/>
      <c r="Y1080" s="84"/>
      <c r="Z1080" s="84"/>
      <c r="AA1080" s="84"/>
      <c r="AB1080" s="84"/>
      <c r="AC1080" s="84"/>
      <c r="AD1080" s="84"/>
      <c r="AE1080" s="84"/>
      <c r="AF1080" s="84"/>
      <c r="AG1080" s="84"/>
      <c r="AH1080" s="84"/>
      <c r="AI1080" s="84"/>
      <c r="AL1080" s="84"/>
      <c r="AM1080" s="84"/>
      <c r="AN1080" s="84"/>
      <c r="AO1080" s="84"/>
      <c r="AP1080" s="84"/>
      <c r="AQ1080" s="84"/>
      <c r="AR1080" s="84"/>
      <c r="AS1080" s="84"/>
      <c r="AT1080" s="84"/>
      <c r="AU1080" s="84"/>
      <c r="AV1080" s="84"/>
      <c r="AY1080" s="84"/>
      <c r="AZ1080" s="84"/>
      <c r="BA1080" s="84"/>
      <c r="BB1080" s="84"/>
      <c r="BC1080" s="84"/>
      <c r="BD1080" s="84"/>
      <c r="BE1080" s="84"/>
      <c r="BF1080" s="942"/>
      <c r="BG1080" s="942"/>
      <c r="BH1080" s="942"/>
      <c r="BI1080" s="84"/>
      <c r="BL1080" s="84"/>
      <c r="BM1080" s="84"/>
      <c r="BN1080" s="84"/>
      <c r="BO1080" s="84"/>
      <c r="BP1080" s="84"/>
      <c r="BQ1080" s="84"/>
      <c r="BR1080" s="84"/>
      <c r="BS1080" s="942"/>
      <c r="BT1080" s="942"/>
      <c r="BU1080" s="942"/>
      <c r="BV1080" s="84"/>
    </row>
    <row r="1081" spans="14:74" ht="14.25">
      <c r="N1081" s="84"/>
      <c r="O1081" s="84"/>
      <c r="P1081" s="84"/>
      <c r="Q1081" s="84"/>
      <c r="R1081" s="84"/>
      <c r="S1081" s="84"/>
      <c r="T1081" s="84"/>
      <c r="U1081" s="84"/>
      <c r="V1081" s="84"/>
      <c r="W1081" s="84"/>
      <c r="Y1081" s="84"/>
      <c r="Z1081" s="84"/>
      <c r="AA1081" s="84"/>
      <c r="AB1081" s="84"/>
      <c r="AC1081" s="84"/>
      <c r="AD1081" s="84"/>
      <c r="AE1081" s="84"/>
      <c r="AF1081" s="84"/>
      <c r="AG1081" s="84"/>
      <c r="AH1081" s="84"/>
      <c r="AI1081" s="84"/>
      <c r="AL1081" s="84"/>
      <c r="AM1081" s="84"/>
      <c r="AN1081" s="84"/>
      <c r="AO1081" s="84"/>
      <c r="AP1081" s="84"/>
      <c r="AQ1081" s="84"/>
      <c r="AR1081" s="84"/>
      <c r="AS1081" s="84"/>
      <c r="AT1081" s="84"/>
      <c r="AU1081" s="84"/>
      <c r="AV1081" s="84"/>
      <c r="AY1081" s="84"/>
      <c r="AZ1081" s="84"/>
      <c r="BA1081" s="84"/>
      <c r="BB1081" s="84"/>
      <c r="BC1081" s="84"/>
      <c r="BD1081" s="84"/>
      <c r="BE1081" s="84"/>
      <c r="BF1081" s="942"/>
      <c r="BG1081" s="942"/>
      <c r="BH1081" s="942"/>
      <c r="BI1081" s="84"/>
      <c r="BL1081" s="84"/>
      <c r="BM1081" s="84"/>
      <c r="BN1081" s="84"/>
      <c r="BO1081" s="84"/>
      <c r="BP1081" s="84"/>
      <c r="BQ1081" s="84"/>
      <c r="BR1081" s="84"/>
      <c r="BS1081" s="942"/>
      <c r="BT1081" s="942"/>
      <c r="BU1081" s="942"/>
      <c r="BV1081" s="84"/>
    </row>
    <row r="1082" spans="14:74" ht="14.25">
      <c r="N1082" s="84"/>
      <c r="O1082" s="84"/>
      <c r="P1082" s="84"/>
      <c r="Q1082" s="84"/>
      <c r="R1082" s="84"/>
      <c r="S1082" s="84"/>
      <c r="T1082" s="84"/>
      <c r="U1082" s="84"/>
      <c r="V1082" s="84"/>
      <c r="W1082" s="84"/>
      <c r="Y1082" s="84"/>
      <c r="Z1082" s="84"/>
      <c r="AA1082" s="84"/>
      <c r="AB1082" s="84"/>
      <c r="AC1082" s="84"/>
      <c r="AD1082" s="84"/>
      <c r="AE1082" s="84"/>
      <c r="AF1082" s="84"/>
      <c r="AG1082" s="84"/>
      <c r="AH1082" s="84"/>
      <c r="AI1082" s="84"/>
      <c r="AL1082" s="84"/>
      <c r="AM1082" s="84"/>
      <c r="AN1082" s="84"/>
      <c r="AO1082" s="84"/>
      <c r="AP1082" s="84"/>
      <c r="AQ1082" s="84"/>
      <c r="AR1082" s="84"/>
      <c r="AS1082" s="84"/>
      <c r="AT1082" s="84"/>
      <c r="AU1082" s="84"/>
      <c r="AV1082" s="84"/>
      <c r="AY1082" s="84"/>
      <c r="AZ1082" s="84"/>
      <c r="BA1082" s="84"/>
      <c r="BB1082" s="84"/>
      <c r="BC1082" s="84"/>
      <c r="BD1082" s="84"/>
      <c r="BE1082" s="84"/>
      <c r="BF1082" s="942"/>
      <c r="BG1082" s="942"/>
      <c r="BH1082" s="942"/>
      <c r="BI1082" s="84"/>
      <c r="BL1082" s="84"/>
      <c r="BM1082" s="84"/>
      <c r="BN1082" s="84"/>
      <c r="BO1082" s="84"/>
      <c r="BP1082" s="84"/>
      <c r="BQ1082" s="84"/>
      <c r="BR1082" s="84"/>
      <c r="BS1082" s="942"/>
      <c r="BT1082" s="942"/>
      <c r="BU1082" s="942"/>
      <c r="BV1082" s="84"/>
    </row>
    <row r="1083" spans="14:74" ht="14.25">
      <c r="N1083" s="84"/>
      <c r="O1083" s="84"/>
      <c r="P1083" s="84"/>
      <c r="Q1083" s="84"/>
      <c r="R1083" s="84"/>
      <c r="S1083" s="84"/>
      <c r="T1083" s="84"/>
      <c r="U1083" s="84"/>
      <c r="V1083" s="84"/>
      <c r="W1083" s="84"/>
      <c r="Y1083" s="84"/>
      <c r="Z1083" s="84"/>
      <c r="AA1083" s="84"/>
      <c r="AB1083" s="84"/>
      <c r="AC1083" s="84"/>
      <c r="AD1083" s="84"/>
      <c r="AE1083" s="84"/>
      <c r="AF1083" s="84"/>
      <c r="AG1083" s="84"/>
      <c r="AH1083" s="84"/>
      <c r="AI1083" s="84"/>
      <c r="AL1083" s="84"/>
      <c r="AM1083" s="84"/>
      <c r="AN1083" s="84"/>
      <c r="AO1083" s="84"/>
      <c r="AP1083" s="84"/>
      <c r="AQ1083" s="84"/>
      <c r="AR1083" s="84"/>
      <c r="AS1083" s="84"/>
      <c r="AT1083" s="84"/>
      <c r="AU1083" s="84"/>
      <c r="AV1083" s="84"/>
      <c r="AY1083" s="84"/>
      <c r="AZ1083" s="84"/>
      <c r="BA1083" s="84"/>
      <c r="BB1083" s="84"/>
      <c r="BC1083" s="84"/>
      <c r="BD1083" s="84"/>
      <c r="BE1083" s="84"/>
      <c r="BF1083" s="942"/>
      <c r="BG1083" s="942"/>
      <c r="BH1083" s="942"/>
      <c r="BI1083" s="84"/>
      <c r="BL1083" s="84"/>
      <c r="BM1083" s="84"/>
      <c r="BN1083" s="84"/>
      <c r="BO1083" s="84"/>
      <c r="BP1083" s="84"/>
      <c r="BQ1083" s="84"/>
      <c r="BR1083" s="84"/>
      <c r="BS1083" s="942"/>
      <c r="BT1083" s="942"/>
      <c r="BU1083" s="942"/>
      <c r="BV1083" s="84"/>
    </row>
    <row r="1084" spans="14:74" ht="14.25">
      <c r="N1084" s="84"/>
      <c r="O1084" s="84"/>
      <c r="P1084" s="84"/>
      <c r="Q1084" s="84"/>
      <c r="R1084" s="84"/>
      <c r="S1084" s="84"/>
      <c r="T1084" s="84"/>
      <c r="U1084" s="84"/>
      <c r="V1084" s="84"/>
      <c r="W1084" s="84"/>
      <c r="Y1084" s="84"/>
      <c r="Z1084" s="84"/>
      <c r="AA1084" s="84"/>
      <c r="AB1084" s="84"/>
      <c r="AC1084" s="84"/>
      <c r="AD1084" s="84"/>
      <c r="AE1084" s="84"/>
      <c r="AF1084" s="84"/>
      <c r="AG1084" s="84"/>
      <c r="AH1084" s="84"/>
      <c r="AI1084" s="84"/>
      <c r="AL1084" s="84"/>
      <c r="AM1084" s="84"/>
      <c r="AN1084" s="84"/>
      <c r="AO1084" s="84"/>
      <c r="AP1084" s="84"/>
      <c r="AQ1084" s="84"/>
      <c r="AR1084" s="84"/>
      <c r="AS1084" s="84"/>
      <c r="AT1084" s="84"/>
      <c r="AU1084" s="84"/>
      <c r="AV1084" s="84"/>
      <c r="AY1084" s="84"/>
      <c r="AZ1084" s="84"/>
      <c r="BA1084" s="84"/>
      <c r="BB1084" s="84"/>
      <c r="BC1084" s="84"/>
      <c r="BD1084" s="84"/>
      <c r="BE1084" s="84"/>
      <c r="BF1084" s="942"/>
      <c r="BG1084" s="942"/>
      <c r="BH1084" s="942"/>
      <c r="BI1084" s="84"/>
      <c r="BL1084" s="84"/>
      <c r="BM1084" s="84"/>
      <c r="BN1084" s="84"/>
      <c r="BO1084" s="84"/>
      <c r="BP1084" s="84"/>
      <c r="BQ1084" s="84"/>
      <c r="BR1084" s="84"/>
      <c r="BS1084" s="942"/>
      <c r="BT1084" s="942"/>
      <c r="BU1084" s="942"/>
      <c r="BV1084" s="84"/>
    </row>
    <row r="1085" spans="14:74" ht="14.25">
      <c r="N1085" s="84"/>
      <c r="O1085" s="84"/>
      <c r="P1085" s="84"/>
      <c r="Q1085" s="84"/>
      <c r="R1085" s="84"/>
      <c r="S1085" s="84"/>
      <c r="T1085" s="84"/>
      <c r="U1085" s="84"/>
      <c r="V1085" s="84"/>
      <c r="W1085" s="84"/>
      <c r="Y1085" s="84"/>
      <c r="Z1085" s="84"/>
      <c r="AA1085" s="84"/>
      <c r="AB1085" s="84"/>
      <c r="AC1085" s="84"/>
      <c r="AD1085" s="84"/>
      <c r="AE1085" s="84"/>
      <c r="AF1085" s="84"/>
      <c r="AG1085" s="84"/>
      <c r="AH1085" s="84"/>
      <c r="AI1085" s="84"/>
      <c r="AL1085" s="84"/>
      <c r="AM1085" s="84"/>
      <c r="AN1085" s="84"/>
      <c r="AO1085" s="84"/>
      <c r="AP1085" s="84"/>
      <c r="AQ1085" s="84"/>
      <c r="AR1085" s="84"/>
      <c r="AS1085" s="84"/>
      <c r="AT1085" s="84"/>
      <c r="AU1085" s="84"/>
      <c r="AV1085" s="84"/>
      <c r="AY1085" s="84"/>
      <c r="AZ1085" s="84"/>
      <c r="BA1085" s="84"/>
      <c r="BB1085" s="84"/>
      <c r="BC1085" s="84"/>
      <c r="BD1085" s="84"/>
      <c r="BE1085" s="84"/>
      <c r="BF1085" s="942"/>
      <c r="BG1085" s="942"/>
      <c r="BH1085" s="942"/>
      <c r="BI1085" s="84"/>
      <c r="BL1085" s="84"/>
      <c r="BM1085" s="84"/>
      <c r="BN1085" s="84"/>
      <c r="BO1085" s="84"/>
      <c r="BP1085" s="84"/>
      <c r="BQ1085" s="84"/>
      <c r="BR1085" s="84"/>
      <c r="BS1085" s="942"/>
      <c r="BT1085" s="942"/>
      <c r="BU1085" s="942"/>
      <c r="BV1085" s="84"/>
    </row>
    <row r="1086" spans="14:74" ht="14.25">
      <c r="N1086" s="84"/>
      <c r="O1086" s="84"/>
      <c r="P1086" s="84"/>
      <c r="Q1086" s="84"/>
      <c r="R1086" s="84"/>
      <c r="S1086" s="84"/>
      <c r="T1086" s="84"/>
      <c r="U1086" s="84"/>
      <c r="V1086" s="84"/>
      <c r="W1086" s="84"/>
      <c r="Y1086" s="84"/>
      <c r="Z1086" s="84"/>
      <c r="AA1086" s="84"/>
      <c r="AB1086" s="84"/>
      <c r="AC1086" s="84"/>
      <c r="AD1086" s="84"/>
      <c r="AE1086" s="84"/>
      <c r="AF1086" s="84"/>
      <c r="AG1086" s="84"/>
      <c r="AH1086" s="84"/>
      <c r="AI1086" s="84"/>
      <c r="AL1086" s="84"/>
      <c r="AM1086" s="84"/>
      <c r="AN1086" s="84"/>
      <c r="AO1086" s="84"/>
      <c r="AP1086" s="84"/>
      <c r="AQ1086" s="84"/>
      <c r="AR1086" s="84"/>
      <c r="AS1086" s="84"/>
      <c r="AT1086" s="84"/>
      <c r="AU1086" s="84"/>
      <c r="AV1086" s="84"/>
      <c r="AY1086" s="84"/>
      <c r="AZ1086" s="84"/>
      <c r="BA1086" s="84"/>
      <c r="BB1086" s="84"/>
      <c r="BC1086" s="84"/>
      <c r="BD1086" s="84"/>
      <c r="BE1086" s="84"/>
      <c r="BF1086" s="942"/>
      <c r="BG1086" s="942"/>
      <c r="BH1086" s="942"/>
      <c r="BI1086" s="84"/>
      <c r="BL1086" s="84"/>
      <c r="BM1086" s="84"/>
      <c r="BN1086" s="84"/>
      <c r="BO1086" s="84"/>
      <c r="BP1086" s="84"/>
      <c r="BQ1086" s="84"/>
      <c r="BR1086" s="84"/>
      <c r="BS1086" s="942"/>
      <c r="BT1086" s="942"/>
      <c r="BU1086" s="942"/>
      <c r="BV1086" s="84"/>
    </row>
    <row r="1087" spans="14:74" ht="14.25">
      <c r="N1087" s="84"/>
      <c r="O1087" s="84"/>
      <c r="P1087" s="84"/>
      <c r="Q1087" s="84"/>
      <c r="R1087" s="84"/>
      <c r="S1087" s="84"/>
      <c r="T1087" s="84"/>
      <c r="U1087" s="84"/>
      <c r="V1087" s="84"/>
      <c r="W1087" s="84"/>
      <c r="Y1087" s="84"/>
      <c r="Z1087" s="84"/>
      <c r="AA1087" s="84"/>
      <c r="AB1087" s="84"/>
      <c r="AC1087" s="84"/>
      <c r="AD1087" s="84"/>
      <c r="AE1087" s="84"/>
      <c r="AF1087" s="84"/>
      <c r="AG1087" s="84"/>
      <c r="AH1087" s="84"/>
      <c r="AI1087" s="84"/>
      <c r="AL1087" s="84"/>
      <c r="AM1087" s="84"/>
      <c r="AN1087" s="84"/>
      <c r="AO1087" s="84"/>
      <c r="AP1087" s="84"/>
      <c r="AQ1087" s="84"/>
      <c r="AR1087" s="84"/>
      <c r="AS1087" s="84"/>
      <c r="AT1087" s="84"/>
      <c r="AU1087" s="84"/>
      <c r="AV1087" s="84"/>
      <c r="AY1087" s="84"/>
      <c r="AZ1087" s="84"/>
      <c r="BA1087" s="84"/>
      <c r="BB1087" s="84"/>
      <c r="BC1087" s="84"/>
      <c r="BD1087" s="84"/>
      <c r="BE1087" s="84"/>
      <c r="BF1087" s="942"/>
      <c r="BG1087" s="942"/>
      <c r="BH1087" s="942"/>
      <c r="BI1087" s="84"/>
      <c r="BL1087" s="84"/>
      <c r="BM1087" s="84"/>
      <c r="BN1087" s="84"/>
      <c r="BO1087" s="84"/>
      <c r="BP1087" s="84"/>
      <c r="BQ1087" s="84"/>
      <c r="BR1087" s="84"/>
      <c r="BS1087" s="942"/>
      <c r="BT1087" s="942"/>
      <c r="BU1087" s="942"/>
      <c r="BV1087" s="84"/>
    </row>
    <row r="1088" spans="14:74" ht="14.25">
      <c r="N1088" s="84"/>
      <c r="O1088" s="84"/>
      <c r="P1088" s="84"/>
      <c r="Q1088" s="84"/>
      <c r="R1088" s="84"/>
      <c r="S1088" s="84"/>
      <c r="T1088" s="84"/>
      <c r="U1088" s="84"/>
      <c r="V1088" s="84"/>
      <c r="W1088" s="84"/>
      <c r="Y1088" s="84"/>
      <c r="Z1088" s="84"/>
      <c r="AA1088" s="84"/>
      <c r="AB1088" s="84"/>
      <c r="AC1088" s="84"/>
      <c r="AD1088" s="84"/>
      <c r="AE1088" s="84"/>
      <c r="AF1088" s="84"/>
      <c r="AG1088" s="84"/>
      <c r="AH1088" s="84"/>
      <c r="AI1088" s="84"/>
      <c r="AL1088" s="84"/>
      <c r="AM1088" s="84"/>
      <c r="AN1088" s="84"/>
      <c r="AO1088" s="84"/>
      <c r="AP1088" s="84"/>
      <c r="AQ1088" s="84"/>
      <c r="AR1088" s="84"/>
      <c r="AS1088" s="84"/>
      <c r="AT1088" s="84"/>
      <c r="AU1088" s="84"/>
      <c r="AV1088" s="84"/>
      <c r="AY1088" s="84"/>
      <c r="AZ1088" s="84"/>
      <c r="BA1088" s="84"/>
      <c r="BB1088" s="84"/>
      <c r="BC1088" s="84"/>
      <c r="BD1088" s="84"/>
      <c r="BE1088" s="84"/>
      <c r="BF1088" s="942"/>
      <c r="BG1088" s="942"/>
      <c r="BH1088" s="942"/>
      <c r="BI1088" s="84"/>
      <c r="BL1088" s="84"/>
      <c r="BM1088" s="84"/>
      <c r="BN1088" s="84"/>
      <c r="BO1088" s="84"/>
      <c r="BP1088" s="84"/>
      <c r="BQ1088" s="84"/>
      <c r="BR1088" s="84"/>
      <c r="BS1088" s="942"/>
      <c r="BT1088" s="942"/>
      <c r="BU1088" s="942"/>
      <c r="BV1088" s="84"/>
    </row>
    <row r="1089" spans="14:74" ht="14.25">
      <c r="N1089" s="84"/>
      <c r="O1089" s="84"/>
      <c r="P1089" s="84"/>
      <c r="Q1089" s="84"/>
      <c r="R1089" s="84"/>
      <c r="S1089" s="84"/>
      <c r="T1089" s="84"/>
      <c r="U1089" s="84"/>
      <c r="V1089" s="84"/>
      <c r="W1089" s="84"/>
      <c r="Y1089" s="84"/>
      <c r="Z1089" s="84"/>
      <c r="AA1089" s="84"/>
      <c r="AB1089" s="84"/>
      <c r="AC1089" s="84"/>
      <c r="AD1089" s="84"/>
      <c r="AE1089" s="84"/>
      <c r="AF1089" s="84"/>
      <c r="AG1089" s="84"/>
      <c r="AH1089" s="84"/>
      <c r="AI1089" s="84"/>
      <c r="AL1089" s="84"/>
      <c r="AM1089" s="84"/>
      <c r="AN1089" s="84"/>
      <c r="AO1089" s="84"/>
      <c r="AP1089" s="84"/>
      <c r="AQ1089" s="84"/>
      <c r="AR1089" s="84"/>
      <c r="AS1089" s="84"/>
      <c r="AT1089" s="84"/>
      <c r="AU1089" s="84"/>
      <c r="AV1089" s="84"/>
      <c r="AY1089" s="84"/>
      <c r="AZ1089" s="84"/>
      <c r="BA1089" s="84"/>
      <c r="BB1089" s="84"/>
      <c r="BC1089" s="84"/>
      <c r="BD1089" s="84"/>
      <c r="BE1089" s="84"/>
      <c r="BF1089" s="942"/>
      <c r="BG1089" s="942"/>
      <c r="BH1089" s="942"/>
      <c r="BI1089" s="84"/>
      <c r="BL1089" s="84"/>
      <c r="BM1089" s="84"/>
      <c r="BN1089" s="84"/>
      <c r="BO1089" s="84"/>
      <c r="BP1089" s="84"/>
      <c r="BQ1089" s="84"/>
      <c r="BR1089" s="84"/>
      <c r="BS1089" s="942"/>
      <c r="BT1089" s="942"/>
      <c r="BU1089" s="942"/>
      <c r="BV1089" s="84"/>
    </row>
    <row r="1090" spans="14:74" ht="14.25">
      <c r="N1090" s="84"/>
      <c r="O1090" s="84"/>
      <c r="P1090" s="84"/>
      <c r="Q1090" s="84"/>
      <c r="R1090" s="84"/>
      <c r="S1090" s="84"/>
      <c r="T1090" s="84"/>
      <c r="U1090" s="84"/>
      <c r="V1090" s="84"/>
      <c r="W1090" s="84"/>
      <c r="Y1090" s="84"/>
      <c r="Z1090" s="84"/>
      <c r="AA1090" s="84"/>
      <c r="AB1090" s="84"/>
      <c r="AC1090" s="84"/>
      <c r="AD1090" s="84"/>
      <c r="AE1090" s="84"/>
      <c r="AF1090" s="84"/>
      <c r="AG1090" s="84"/>
      <c r="AH1090" s="84"/>
      <c r="AI1090" s="84"/>
      <c r="AL1090" s="84"/>
      <c r="AM1090" s="84"/>
      <c r="AN1090" s="84"/>
      <c r="AO1090" s="84"/>
      <c r="AP1090" s="84"/>
      <c r="AQ1090" s="84"/>
      <c r="AR1090" s="84"/>
      <c r="AS1090" s="84"/>
      <c r="AT1090" s="84"/>
      <c r="AU1090" s="84"/>
      <c r="AV1090" s="84"/>
      <c r="AY1090" s="84"/>
      <c r="AZ1090" s="84"/>
      <c r="BA1090" s="84"/>
      <c r="BB1090" s="84"/>
      <c r="BC1090" s="84"/>
      <c r="BD1090" s="84"/>
      <c r="BE1090" s="84"/>
      <c r="BF1090" s="942"/>
      <c r="BG1090" s="942"/>
      <c r="BH1090" s="942"/>
      <c r="BI1090" s="84"/>
      <c r="BL1090" s="84"/>
      <c r="BM1090" s="84"/>
      <c r="BN1090" s="84"/>
      <c r="BO1090" s="84"/>
      <c r="BP1090" s="84"/>
      <c r="BQ1090" s="84"/>
      <c r="BR1090" s="84"/>
      <c r="BS1090" s="942"/>
      <c r="BT1090" s="942"/>
      <c r="BU1090" s="942"/>
      <c r="BV1090" s="84"/>
    </row>
    <row r="1091" spans="14:74" ht="14.25">
      <c r="N1091" s="84"/>
      <c r="O1091" s="84"/>
      <c r="P1091" s="84"/>
      <c r="Q1091" s="84"/>
      <c r="R1091" s="84"/>
      <c r="S1091" s="84"/>
      <c r="T1091" s="84"/>
      <c r="U1091" s="84"/>
      <c r="V1091" s="84"/>
      <c r="W1091" s="84"/>
      <c r="Y1091" s="84"/>
      <c r="Z1091" s="84"/>
      <c r="AA1091" s="84"/>
      <c r="AB1091" s="84"/>
      <c r="AC1091" s="84"/>
      <c r="AD1091" s="84"/>
      <c r="AE1091" s="84"/>
      <c r="AF1091" s="84"/>
      <c r="AG1091" s="84"/>
      <c r="AH1091" s="84"/>
      <c r="AI1091" s="84"/>
      <c r="AL1091" s="84"/>
      <c r="AM1091" s="84"/>
      <c r="AN1091" s="84"/>
      <c r="AO1091" s="84"/>
      <c r="AP1091" s="84"/>
      <c r="AQ1091" s="84"/>
      <c r="AR1091" s="84"/>
      <c r="AS1091" s="84"/>
      <c r="AT1091" s="84"/>
      <c r="AU1091" s="84"/>
      <c r="AV1091" s="84"/>
      <c r="AY1091" s="84"/>
      <c r="AZ1091" s="84"/>
      <c r="BA1091" s="84"/>
      <c r="BB1091" s="84"/>
      <c r="BC1091" s="84"/>
      <c r="BD1091" s="84"/>
      <c r="BE1091" s="84"/>
      <c r="BF1091" s="942"/>
      <c r="BG1091" s="942"/>
      <c r="BH1091" s="942"/>
      <c r="BI1091" s="84"/>
      <c r="BL1091" s="84"/>
      <c r="BM1091" s="84"/>
      <c r="BN1091" s="84"/>
      <c r="BO1091" s="84"/>
      <c r="BP1091" s="84"/>
      <c r="BQ1091" s="84"/>
      <c r="BR1091" s="84"/>
      <c r="BS1091" s="942"/>
      <c r="BT1091" s="942"/>
      <c r="BU1091" s="942"/>
      <c r="BV1091" s="84"/>
    </row>
    <row r="1092" spans="14:74" ht="14.25">
      <c r="N1092" s="84"/>
      <c r="O1092" s="84"/>
      <c r="P1092" s="84"/>
      <c r="Q1092" s="84"/>
      <c r="R1092" s="84"/>
      <c r="S1092" s="84"/>
      <c r="T1092" s="84"/>
      <c r="U1092" s="84"/>
      <c r="V1092" s="84"/>
      <c r="W1092" s="84"/>
      <c r="Y1092" s="84"/>
      <c r="Z1092" s="84"/>
      <c r="AA1092" s="84"/>
      <c r="AB1092" s="84"/>
      <c r="AC1092" s="84"/>
      <c r="AD1092" s="84"/>
      <c r="AE1092" s="84"/>
      <c r="AF1092" s="84"/>
      <c r="AG1092" s="84"/>
      <c r="AH1092" s="84"/>
      <c r="AI1092" s="84"/>
      <c r="AL1092" s="84"/>
      <c r="AM1092" s="84"/>
      <c r="AN1092" s="84"/>
      <c r="AO1092" s="84"/>
      <c r="AP1092" s="84"/>
      <c r="AQ1092" s="84"/>
      <c r="AR1092" s="84"/>
      <c r="AS1092" s="84"/>
      <c r="AT1092" s="84"/>
      <c r="AU1092" s="84"/>
      <c r="AV1092" s="84"/>
      <c r="AY1092" s="84"/>
      <c r="AZ1092" s="84"/>
      <c r="BA1092" s="84"/>
      <c r="BB1092" s="84"/>
      <c r="BC1092" s="84"/>
      <c r="BD1092" s="84"/>
      <c r="BE1092" s="84"/>
      <c r="BF1092" s="942"/>
      <c r="BG1092" s="942"/>
      <c r="BH1092" s="942"/>
      <c r="BI1092" s="84"/>
      <c r="BL1092" s="84"/>
      <c r="BM1092" s="84"/>
      <c r="BN1092" s="84"/>
      <c r="BO1092" s="84"/>
      <c r="BP1092" s="84"/>
      <c r="BQ1092" s="84"/>
      <c r="BR1092" s="84"/>
      <c r="BS1092" s="942"/>
      <c r="BT1092" s="942"/>
      <c r="BU1092" s="942"/>
      <c r="BV1092" s="84"/>
    </row>
    <row r="1093" spans="14:74" ht="14.25">
      <c r="N1093" s="84"/>
      <c r="O1093" s="84"/>
      <c r="P1093" s="84"/>
      <c r="Q1093" s="84"/>
      <c r="R1093" s="84"/>
      <c r="S1093" s="84"/>
      <c r="T1093" s="84"/>
      <c r="U1093" s="84"/>
      <c r="V1093" s="84"/>
      <c r="W1093" s="84"/>
      <c r="Y1093" s="84"/>
      <c r="Z1093" s="84"/>
      <c r="AA1093" s="84"/>
      <c r="AB1093" s="84"/>
      <c r="AC1093" s="84"/>
      <c r="AD1093" s="84"/>
      <c r="AE1093" s="84"/>
      <c r="AF1093" s="84"/>
      <c r="AG1093" s="84"/>
      <c r="AH1093" s="84"/>
      <c r="AI1093" s="84"/>
      <c r="AL1093" s="84"/>
      <c r="AM1093" s="84"/>
      <c r="AN1093" s="84"/>
      <c r="AO1093" s="84"/>
      <c r="AP1093" s="84"/>
      <c r="AQ1093" s="84"/>
      <c r="AR1093" s="84"/>
      <c r="AS1093" s="84"/>
      <c r="AT1093" s="84"/>
      <c r="AU1093" s="84"/>
      <c r="AV1093" s="84"/>
      <c r="AY1093" s="84"/>
      <c r="AZ1093" s="84"/>
      <c r="BA1093" s="84"/>
      <c r="BB1093" s="84"/>
      <c r="BC1093" s="84"/>
      <c r="BD1093" s="84"/>
      <c r="BE1093" s="84"/>
      <c r="BF1093" s="942"/>
      <c r="BG1093" s="942"/>
      <c r="BH1093" s="942"/>
      <c r="BI1093" s="84"/>
      <c r="BL1093" s="84"/>
      <c r="BM1093" s="84"/>
      <c r="BN1093" s="84"/>
      <c r="BO1093" s="84"/>
      <c r="BP1093" s="84"/>
      <c r="BQ1093" s="84"/>
      <c r="BR1093" s="84"/>
      <c r="BS1093" s="942"/>
      <c r="BT1093" s="942"/>
      <c r="BU1093" s="942"/>
      <c r="BV1093" s="84"/>
    </row>
    <row r="1094" spans="14:74" ht="14.25">
      <c r="N1094" s="84"/>
      <c r="O1094" s="84"/>
      <c r="P1094" s="84"/>
      <c r="Q1094" s="84"/>
      <c r="R1094" s="84"/>
      <c r="S1094" s="84"/>
      <c r="T1094" s="84"/>
      <c r="U1094" s="84"/>
      <c r="V1094" s="84"/>
      <c r="W1094" s="84"/>
      <c r="Y1094" s="84"/>
      <c r="Z1094" s="84"/>
      <c r="AA1094" s="84"/>
      <c r="AB1094" s="84"/>
      <c r="AC1094" s="84"/>
      <c r="AD1094" s="84"/>
      <c r="AE1094" s="84"/>
      <c r="AF1094" s="84"/>
      <c r="AG1094" s="84"/>
      <c r="AH1094" s="84"/>
      <c r="AI1094" s="84"/>
      <c r="AL1094" s="84"/>
      <c r="AM1094" s="84"/>
      <c r="AN1094" s="84"/>
      <c r="AO1094" s="84"/>
      <c r="AP1094" s="84"/>
      <c r="AQ1094" s="84"/>
      <c r="AR1094" s="84"/>
      <c r="AS1094" s="84"/>
      <c r="AT1094" s="84"/>
      <c r="AU1094" s="84"/>
      <c r="AV1094" s="84"/>
      <c r="AY1094" s="84"/>
      <c r="AZ1094" s="84"/>
      <c r="BA1094" s="84"/>
      <c r="BB1094" s="84"/>
      <c r="BC1094" s="84"/>
      <c r="BD1094" s="84"/>
      <c r="BE1094" s="84"/>
      <c r="BF1094" s="942"/>
      <c r="BG1094" s="942"/>
      <c r="BH1094" s="942"/>
      <c r="BI1094" s="84"/>
      <c r="BL1094" s="84"/>
      <c r="BM1094" s="84"/>
      <c r="BN1094" s="84"/>
      <c r="BO1094" s="84"/>
      <c r="BP1094" s="84"/>
      <c r="BQ1094" s="84"/>
      <c r="BR1094" s="84"/>
      <c r="BS1094" s="942"/>
      <c r="BT1094" s="942"/>
      <c r="BU1094" s="942"/>
      <c r="BV1094" s="84"/>
    </row>
    <row r="1095" spans="14:74" ht="14.25">
      <c r="N1095" s="84"/>
      <c r="O1095" s="84"/>
      <c r="P1095" s="84"/>
      <c r="Q1095" s="84"/>
      <c r="R1095" s="84"/>
      <c r="S1095" s="84"/>
      <c r="T1095" s="84"/>
      <c r="U1095" s="84"/>
      <c r="V1095" s="84"/>
      <c r="W1095" s="84"/>
      <c r="Y1095" s="84"/>
      <c r="Z1095" s="84"/>
      <c r="AA1095" s="84"/>
      <c r="AB1095" s="84"/>
      <c r="AC1095" s="84"/>
      <c r="AD1095" s="84"/>
      <c r="AE1095" s="84"/>
      <c r="AF1095" s="84"/>
      <c r="AG1095" s="84"/>
      <c r="AH1095" s="84"/>
      <c r="AI1095" s="84"/>
      <c r="AL1095" s="84"/>
      <c r="AM1095" s="84"/>
      <c r="AN1095" s="84"/>
      <c r="AO1095" s="84"/>
      <c r="AP1095" s="84"/>
      <c r="AQ1095" s="84"/>
      <c r="AR1095" s="84"/>
      <c r="AS1095" s="84"/>
      <c r="AT1095" s="84"/>
      <c r="AU1095" s="84"/>
      <c r="AV1095" s="84"/>
      <c r="AY1095" s="84"/>
      <c r="AZ1095" s="84"/>
      <c r="BA1095" s="84"/>
      <c r="BB1095" s="84"/>
      <c r="BC1095" s="84"/>
      <c r="BD1095" s="84"/>
      <c r="BE1095" s="84"/>
      <c r="BF1095" s="942"/>
      <c r="BG1095" s="942"/>
      <c r="BH1095" s="942"/>
      <c r="BI1095" s="84"/>
      <c r="BL1095" s="84"/>
      <c r="BM1095" s="84"/>
      <c r="BN1095" s="84"/>
      <c r="BO1095" s="84"/>
      <c r="BP1095" s="84"/>
      <c r="BQ1095" s="84"/>
      <c r="BR1095" s="84"/>
      <c r="BS1095" s="942"/>
      <c r="BT1095" s="942"/>
      <c r="BU1095" s="942"/>
      <c r="BV1095" s="84"/>
    </row>
    <row r="1096" spans="14:74" ht="14.25">
      <c r="N1096" s="84"/>
      <c r="O1096" s="84"/>
      <c r="P1096" s="84"/>
      <c r="Q1096" s="84"/>
      <c r="R1096" s="84"/>
      <c r="S1096" s="84"/>
      <c r="T1096" s="84"/>
      <c r="U1096" s="84"/>
      <c r="V1096" s="84"/>
      <c r="W1096" s="84"/>
      <c r="Y1096" s="84"/>
      <c r="Z1096" s="84"/>
      <c r="AA1096" s="84"/>
      <c r="AB1096" s="84"/>
      <c r="AC1096" s="84"/>
      <c r="AD1096" s="84"/>
      <c r="AE1096" s="84"/>
      <c r="AF1096" s="84"/>
      <c r="AG1096" s="84"/>
      <c r="AH1096" s="84"/>
      <c r="AI1096" s="84"/>
      <c r="AL1096" s="84"/>
      <c r="AM1096" s="84"/>
      <c r="AN1096" s="84"/>
      <c r="AO1096" s="84"/>
      <c r="AP1096" s="84"/>
      <c r="AQ1096" s="84"/>
      <c r="AR1096" s="84"/>
      <c r="AS1096" s="84"/>
      <c r="AT1096" s="84"/>
      <c r="AU1096" s="84"/>
      <c r="AV1096" s="84"/>
      <c r="AY1096" s="84"/>
      <c r="AZ1096" s="84"/>
      <c r="BA1096" s="84"/>
      <c r="BB1096" s="84"/>
      <c r="BC1096" s="84"/>
      <c r="BD1096" s="84"/>
      <c r="BE1096" s="84"/>
      <c r="BF1096" s="942"/>
      <c r="BG1096" s="942"/>
      <c r="BH1096" s="942"/>
      <c r="BI1096" s="84"/>
      <c r="BL1096" s="84"/>
      <c r="BM1096" s="84"/>
      <c r="BN1096" s="84"/>
      <c r="BO1096" s="84"/>
      <c r="BP1096" s="84"/>
      <c r="BQ1096" s="84"/>
      <c r="BR1096" s="84"/>
      <c r="BS1096" s="942"/>
      <c r="BT1096" s="942"/>
      <c r="BU1096" s="942"/>
      <c r="BV1096" s="84"/>
    </row>
    <row r="1097" spans="14:74" ht="14.25">
      <c r="N1097" s="84"/>
      <c r="O1097" s="84"/>
      <c r="P1097" s="84"/>
      <c r="Q1097" s="84"/>
      <c r="R1097" s="84"/>
      <c r="S1097" s="84"/>
      <c r="T1097" s="84"/>
      <c r="U1097" s="84"/>
      <c r="V1097" s="84"/>
      <c r="W1097" s="84"/>
      <c r="Y1097" s="84"/>
      <c r="Z1097" s="84"/>
      <c r="AA1097" s="84"/>
      <c r="AB1097" s="84"/>
      <c r="AC1097" s="84"/>
      <c r="AD1097" s="84"/>
      <c r="AE1097" s="84"/>
      <c r="AF1097" s="84"/>
      <c r="AG1097" s="84"/>
      <c r="AH1097" s="84"/>
      <c r="AI1097" s="84"/>
      <c r="AL1097" s="84"/>
      <c r="AM1097" s="84"/>
      <c r="AN1097" s="84"/>
      <c r="AO1097" s="84"/>
      <c r="AP1097" s="84"/>
      <c r="AQ1097" s="84"/>
      <c r="AR1097" s="84"/>
      <c r="AS1097" s="84"/>
      <c r="AT1097" s="84"/>
      <c r="AU1097" s="84"/>
      <c r="AV1097" s="84"/>
      <c r="AY1097" s="84"/>
      <c r="AZ1097" s="84"/>
      <c r="BA1097" s="84"/>
      <c r="BB1097" s="84"/>
      <c r="BC1097" s="84"/>
      <c r="BD1097" s="84"/>
      <c r="BE1097" s="84"/>
      <c r="BF1097" s="942"/>
      <c r="BG1097" s="942"/>
      <c r="BH1097" s="942"/>
      <c r="BI1097" s="84"/>
      <c r="BL1097" s="84"/>
      <c r="BM1097" s="84"/>
      <c r="BN1097" s="84"/>
      <c r="BO1097" s="84"/>
      <c r="BP1097" s="84"/>
      <c r="BQ1097" s="84"/>
      <c r="BR1097" s="84"/>
      <c r="BS1097" s="942"/>
      <c r="BT1097" s="942"/>
      <c r="BU1097" s="942"/>
      <c r="BV1097" s="84"/>
    </row>
    <row r="1098" spans="14:74" ht="14.25">
      <c r="N1098" s="84"/>
      <c r="O1098" s="84"/>
      <c r="P1098" s="84"/>
      <c r="Q1098" s="84"/>
      <c r="R1098" s="84"/>
      <c r="S1098" s="84"/>
      <c r="T1098" s="84"/>
      <c r="U1098" s="84"/>
      <c r="V1098" s="84"/>
      <c r="W1098" s="84"/>
      <c r="Y1098" s="84"/>
      <c r="Z1098" s="84"/>
      <c r="AA1098" s="84"/>
      <c r="AB1098" s="84"/>
      <c r="AC1098" s="84"/>
      <c r="AD1098" s="84"/>
      <c r="AE1098" s="84"/>
      <c r="AF1098" s="84"/>
      <c r="AG1098" s="84"/>
      <c r="AH1098" s="84"/>
      <c r="AI1098" s="84"/>
      <c r="AL1098" s="84"/>
      <c r="AM1098" s="84"/>
      <c r="AN1098" s="84"/>
      <c r="AO1098" s="84"/>
      <c r="AP1098" s="84"/>
      <c r="AQ1098" s="84"/>
      <c r="AR1098" s="84"/>
      <c r="AS1098" s="84"/>
      <c r="AT1098" s="84"/>
      <c r="AU1098" s="84"/>
      <c r="AV1098" s="84"/>
      <c r="AY1098" s="84"/>
      <c r="AZ1098" s="84"/>
      <c r="BA1098" s="84"/>
      <c r="BB1098" s="84"/>
      <c r="BC1098" s="84"/>
      <c r="BD1098" s="84"/>
      <c r="BE1098" s="84"/>
      <c r="BF1098" s="942"/>
      <c r="BG1098" s="942"/>
      <c r="BH1098" s="942"/>
      <c r="BI1098" s="84"/>
      <c r="BL1098" s="84"/>
      <c r="BM1098" s="84"/>
      <c r="BN1098" s="84"/>
      <c r="BO1098" s="84"/>
      <c r="BP1098" s="84"/>
      <c r="BQ1098" s="84"/>
      <c r="BR1098" s="84"/>
      <c r="BS1098" s="942"/>
      <c r="BT1098" s="942"/>
      <c r="BU1098" s="942"/>
      <c r="BV1098" s="84"/>
    </row>
    <row r="1099" spans="14:74" ht="14.25">
      <c r="N1099" s="84"/>
      <c r="O1099" s="84"/>
      <c r="P1099" s="84"/>
      <c r="Q1099" s="84"/>
      <c r="R1099" s="84"/>
      <c r="S1099" s="84"/>
      <c r="T1099" s="84"/>
      <c r="U1099" s="84"/>
      <c r="V1099" s="84"/>
      <c r="W1099" s="84"/>
      <c r="Y1099" s="84"/>
      <c r="Z1099" s="84"/>
      <c r="AA1099" s="84"/>
      <c r="AB1099" s="84"/>
      <c r="AC1099" s="84"/>
      <c r="AD1099" s="84"/>
      <c r="AE1099" s="84"/>
      <c r="AF1099" s="84"/>
      <c r="AG1099" s="84"/>
      <c r="AH1099" s="84"/>
      <c r="AI1099" s="84"/>
      <c r="AL1099" s="84"/>
      <c r="AM1099" s="84"/>
      <c r="AN1099" s="84"/>
      <c r="AO1099" s="84"/>
      <c r="AP1099" s="84"/>
      <c r="AQ1099" s="84"/>
      <c r="AR1099" s="84"/>
      <c r="AS1099" s="84"/>
      <c r="AT1099" s="84"/>
      <c r="AU1099" s="84"/>
      <c r="AV1099" s="84"/>
      <c r="AY1099" s="84"/>
      <c r="AZ1099" s="84"/>
      <c r="BA1099" s="84"/>
      <c r="BB1099" s="84"/>
      <c r="BC1099" s="84"/>
      <c r="BD1099" s="84"/>
      <c r="BE1099" s="84"/>
      <c r="BF1099" s="942"/>
      <c r="BG1099" s="942"/>
      <c r="BH1099" s="942"/>
      <c r="BI1099" s="84"/>
      <c r="BL1099" s="84"/>
      <c r="BM1099" s="84"/>
      <c r="BN1099" s="84"/>
      <c r="BO1099" s="84"/>
      <c r="BP1099" s="84"/>
      <c r="BQ1099" s="84"/>
      <c r="BR1099" s="84"/>
      <c r="BS1099" s="942"/>
      <c r="BT1099" s="942"/>
      <c r="BU1099" s="942"/>
      <c r="BV1099" s="84"/>
    </row>
    <row r="1100" spans="14:74" ht="14.25">
      <c r="N1100" s="84"/>
      <c r="O1100" s="84"/>
      <c r="P1100" s="84"/>
      <c r="Q1100" s="84"/>
      <c r="R1100" s="84"/>
      <c r="S1100" s="84"/>
      <c r="T1100" s="84"/>
      <c r="U1100" s="84"/>
      <c r="V1100" s="84"/>
      <c r="W1100" s="84"/>
      <c r="Y1100" s="84"/>
      <c r="Z1100" s="84"/>
      <c r="AA1100" s="84"/>
      <c r="AB1100" s="84"/>
      <c r="AC1100" s="84"/>
      <c r="AD1100" s="84"/>
      <c r="AE1100" s="84"/>
      <c r="AF1100" s="84"/>
      <c r="AG1100" s="84"/>
      <c r="AH1100" s="84"/>
      <c r="AI1100" s="84"/>
      <c r="AL1100" s="84"/>
      <c r="AM1100" s="84"/>
      <c r="AN1100" s="84"/>
      <c r="AO1100" s="84"/>
      <c r="AP1100" s="84"/>
      <c r="AQ1100" s="84"/>
      <c r="AR1100" s="84"/>
      <c r="AS1100" s="84"/>
      <c r="AT1100" s="84"/>
      <c r="AU1100" s="84"/>
      <c r="AV1100" s="84"/>
      <c r="AY1100" s="84"/>
      <c r="AZ1100" s="84"/>
      <c r="BA1100" s="84"/>
      <c r="BB1100" s="84"/>
      <c r="BC1100" s="84"/>
      <c r="BD1100" s="84"/>
      <c r="BE1100" s="84"/>
      <c r="BF1100" s="942"/>
      <c r="BG1100" s="942"/>
      <c r="BH1100" s="942"/>
      <c r="BI1100" s="84"/>
      <c r="BL1100" s="84"/>
      <c r="BM1100" s="84"/>
      <c r="BN1100" s="84"/>
      <c r="BO1100" s="84"/>
      <c r="BP1100" s="84"/>
      <c r="BQ1100" s="84"/>
      <c r="BR1100" s="84"/>
      <c r="BS1100" s="942"/>
      <c r="BT1100" s="942"/>
      <c r="BU1100" s="942"/>
      <c r="BV1100" s="84"/>
    </row>
    <row r="1101" spans="14:74" ht="14.25">
      <c r="N1101" s="84"/>
      <c r="O1101" s="84"/>
      <c r="P1101" s="84"/>
      <c r="Q1101" s="84"/>
      <c r="R1101" s="84"/>
      <c r="S1101" s="84"/>
      <c r="T1101" s="84"/>
      <c r="U1101" s="84"/>
      <c r="V1101" s="84"/>
      <c r="W1101" s="84"/>
      <c r="Y1101" s="84"/>
      <c r="Z1101" s="84"/>
      <c r="AA1101" s="84"/>
      <c r="AB1101" s="84"/>
      <c r="AC1101" s="84"/>
      <c r="AD1101" s="84"/>
      <c r="AE1101" s="84"/>
      <c r="AF1101" s="84"/>
      <c r="AG1101" s="84"/>
      <c r="AH1101" s="84"/>
      <c r="AI1101" s="84"/>
      <c r="AL1101" s="84"/>
      <c r="AM1101" s="84"/>
      <c r="AN1101" s="84"/>
      <c r="AO1101" s="84"/>
      <c r="AP1101" s="84"/>
      <c r="AQ1101" s="84"/>
      <c r="AR1101" s="84"/>
      <c r="AS1101" s="84"/>
      <c r="AT1101" s="84"/>
      <c r="AU1101" s="84"/>
      <c r="AV1101" s="84"/>
      <c r="AY1101" s="84"/>
      <c r="AZ1101" s="84"/>
      <c r="BA1101" s="84"/>
      <c r="BB1101" s="84"/>
      <c r="BC1101" s="84"/>
      <c r="BD1101" s="84"/>
      <c r="BE1101" s="84"/>
      <c r="BF1101" s="942"/>
      <c r="BG1101" s="942"/>
      <c r="BH1101" s="942"/>
      <c r="BI1101" s="84"/>
      <c r="BL1101" s="84"/>
      <c r="BM1101" s="84"/>
      <c r="BN1101" s="84"/>
      <c r="BO1101" s="84"/>
      <c r="BP1101" s="84"/>
      <c r="BQ1101" s="84"/>
      <c r="BR1101" s="84"/>
      <c r="BS1101" s="942"/>
      <c r="BT1101" s="942"/>
      <c r="BU1101" s="942"/>
      <c r="BV1101" s="84"/>
    </row>
    <row r="1102" spans="14:74" ht="14.25">
      <c r="N1102" s="84"/>
      <c r="O1102" s="84"/>
      <c r="P1102" s="84"/>
      <c r="Q1102" s="84"/>
      <c r="R1102" s="84"/>
      <c r="S1102" s="84"/>
      <c r="T1102" s="84"/>
      <c r="U1102" s="84"/>
      <c r="V1102" s="84"/>
      <c r="W1102" s="84"/>
      <c r="Y1102" s="84"/>
      <c r="Z1102" s="84"/>
      <c r="AA1102" s="84"/>
      <c r="AB1102" s="84"/>
      <c r="AC1102" s="84"/>
      <c r="AD1102" s="84"/>
      <c r="AE1102" s="84"/>
      <c r="AF1102" s="84"/>
      <c r="AG1102" s="84"/>
      <c r="AH1102" s="84"/>
      <c r="AI1102" s="84"/>
      <c r="AL1102" s="84"/>
      <c r="AM1102" s="84"/>
      <c r="AN1102" s="84"/>
      <c r="AO1102" s="84"/>
      <c r="AP1102" s="84"/>
      <c r="AQ1102" s="84"/>
      <c r="AR1102" s="84"/>
      <c r="AS1102" s="84"/>
      <c r="AT1102" s="84"/>
      <c r="AU1102" s="84"/>
      <c r="AV1102" s="84"/>
      <c r="AY1102" s="84"/>
      <c r="AZ1102" s="84"/>
      <c r="BA1102" s="84"/>
      <c r="BB1102" s="84"/>
      <c r="BC1102" s="84"/>
      <c r="BD1102" s="84"/>
      <c r="BE1102" s="84"/>
      <c r="BF1102" s="942"/>
      <c r="BG1102" s="942"/>
      <c r="BH1102" s="942"/>
      <c r="BI1102" s="84"/>
      <c r="BL1102" s="84"/>
      <c r="BM1102" s="84"/>
      <c r="BN1102" s="84"/>
      <c r="BO1102" s="84"/>
      <c r="BP1102" s="84"/>
      <c r="BQ1102" s="84"/>
      <c r="BR1102" s="84"/>
      <c r="BS1102" s="942"/>
      <c r="BT1102" s="942"/>
      <c r="BU1102" s="942"/>
      <c r="BV1102" s="84"/>
    </row>
    <row r="1103" spans="14:74" ht="14.25">
      <c r="N1103" s="84"/>
      <c r="O1103" s="84"/>
      <c r="P1103" s="84"/>
      <c r="Q1103" s="84"/>
      <c r="R1103" s="84"/>
      <c r="S1103" s="84"/>
      <c r="T1103" s="84"/>
      <c r="U1103" s="84"/>
      <c r="V1103" s="84"/>
      <c r="W1103" s="84"/>
      <c r="Y1103" s="84"/>
      <c r="Z1103" s="84"/>
      <c r="AA1103" s="84"/>
      <c r="AB1103" s="84"/>
      <c r="AC1103" s="84"/>
      <c r="AD1103" s="84"/>
      <c r="AE1103" s="84"/>
      <c r="AF1103" s="84"/>
      <c r="AG1103" s="84"/>
      <c r="AH1103" s="84"/>
      <c r="AI1103" s="84"/>
      <c r="AL1103" s="84"/>
      <c r="AM1103" s="84"/>
      <c r="AN1103" s="84"/>
      <c r="AO1103" s="84"/>
      <c r="AP1103" s="84"/>
      <c r="AQ1103" s="84"/>
      <c r="AR1103" s="84"/>
      <c r="AS1103" s="84"/>
      <c r="AT1103" s="84"/>
      <c r="AU1103" s="84"/>
      <c r="AV1103" s="84"/>
      <c r="AY1103" s="84"/>
      <c r="AZ1103" s="84"/>
      <c r="BA1103" s="84"/>
      <c r="BB1103" s="84"/>
      <c r="BC1103" s="84"/>
      <c r="BD1103" s="84"/>
      <c r="BE1103" s="84"/>
      <c r="BF1103" s="942"/>
      <c r="BG1103" s="942"/>
      <c r="BH1103" s="942"/>
      <c r="BI1103" s="84"/>
      <c r="BL1103" s="84"/>
      <c r="BM1103" s="84"/>
      <c r="BN1103" s="84"/>
      <c r="BO1103" s="84"/>
      <c r="BP1103" s="84"/>
      <c r="BQ1103" s="84"/>
      <c r="BR1103" s="84"/>
      <c r="BS1103" s="942"/>
      <c r="BT1103" s="942"/>
      <c r="BU1103" s="942"/>
      <c r="BV1103" s="84"/>
    </row>
    <row r="1104" spans="14:74" ht="14.25">
      <c r="N1104" s="84"/>
      <c r="O1104" s="84"/>
      <c r="P1104" s="84"/>
      <c r="Q1104" s="84"/>
      <c r="R1104" s="84"/>
      <c r="S1104" s="84"/>
      <c r="T1104" s="84"/>
      <c r="U1104" s="84"/>
      <c r="V1104" s="84"/>
      <c r="W1104" s="84"/>
      <c r="Y1104" s="84"/>
      <c r="Z1104" s="84"/>
      <c r="AA1104" s="84"/>
      <c r="AB1104" s="84"/>
      <c r="AC1104" s="84"/>
      <c r="AD1104" s="84"/>
      <c r="AE1104" s="84"/>
      <c r="AF1104" s="84"/>
      <c r="AG1104" s="84"/>
      <c r="AH1104" s="84"/>
      <c r="AI1104" s="84"/>
      <c r="AL1104" s="84"/>
      <c r="AM1104" s="84"/>
      <c r="AN1104" s="84"/>
      <c r="AO1104" s="84"/>
      <c r="AP1104" s="84"/>
      <c r="AQ1104" s="84"/>
      <c r="AR1104" s="84"/>
      <c r="AS1104" s="84"/>
      <c r="AT1104" s="84"/>
      <c r="AU1104" s="84"/>
      <c r="AV1104" s="84"/>
      <c r="AY1104" s="84"/>
      <c r="AZ1104" s="84"/>
      <c r="BA1104" s="84"/>
      <c r="BB1104" s="84"/>
      <c r="BC1104" s="84"/>
      <c r="BD1104" s="84"/>
      <c r="BE1104" s="84"/>
      <c r="BF1104" s="942"/>
      <c r="BG1104" s="942"/>
      <c r="BH1104" s="942"/>
      <c r="BI1104" s="84"/>
      <c r="BL1104" s="84"/>
      <c r="BM1104" s="84"/>
      <c r="BN1104" s="84"/>
      <c r="BO1104" s="84"/>
      <c r="BP1104" s="84"/>
      <c r="BQ1104" s="84"/>
      <c r="BR1104" s="84"/>
      <c r="BS1104" s="942"/>
      <c r="BT1104" s="942"/>
      <c r="BU1104" s="942"/>
      <c r="BV1104" s="84"/>
    </row>
    <row r="1105" spans="14:74" ht="14.25">
      <c r="N1105" s="84"/>
      <c r="O1105" s="84"/>
      <c r="P1105" s="84"/>
      <c r="Q1105" s="84"/>
      <c r="R1105" s="84"/>
      <c r="S1105" s="84"/>
      <c r="T1105" s="84"/>
      <c r="U1105" s="84"/>
      <c r="V1105" s="84"/>
      <c r="W1105" s="84"/>
      <c r="Y1105" s="84"/>
      <c r="Z1105" s="84"/>
      <c r="AA1105" s="84"/>
      <c r="AB1105" s="84"/>
      <c r="AC1105" s="84"/>
      <c r="AD1105" s="84"/>
      <c r="AE1105" s="84"/>
      <c r="AF1105" s="84"/>
      <c r="AG1105" s="84"/>
      <c r="AH1105" s="84"/>
      <c r="AI1105" s="84"/>
      <c r="AL1105" s="84"/>
      <c r="AM1105" s="84"/>
      <c r="AN1105" s="84"/>
      <c r="AO1105" s="84"/>
      <c r="AP1105" s="84"/>
      <c r="AQ1105" s="84"/>
      <c r="AR1105" s="84"/>
      <c r="AS1105" s="84"/>
      <c r="AT1105" s="84"/>
      <c r="AU1105" s="84"/>
      <c r="AV1105" s="84"/>
      <c r="AY1105" s="84"/>
      <c r="AZ1105" s="84"/>
      <c r="BA1105" s="84"/>
      <c r="BB1105" s="84"/>
      <c r="BC1105" s="84"/>
      <c r="BD1105" s="84"/>
      <c r="BE1105" s="84"/>
      <c r="BF1105" s="942"/>
      <c r="BG1105" s="942"/>
      <c r="BH1105" s="942"/>
      <c r="BI1105" s="84"/>
      <c r="BL1105" s="84"/>
      <c r="BM1105" s="84"/>
      <c r="BN1105" s="84"/>
      <c r="BO1105" s="84"/>
      <c r="BP1105" s="84"/>
      <c r="BQ1105" s="84"/>
      <c r="BR1105" s="84"/>
      <c r="BS1105" s="942"/>
      <c r="BT1105" s="942"/>
      <c r="BU1105" s="942"/>
      <c r="BV1105" s="84"/>
    </row>
    <row r="1106" spans="14:74" ht="14.25">
      <c r="N1106" s="84"/>
      <c r="O1106" s="84"/>
      <c r="P1106" s="84"/>
      <c r="Q1106" s="84"/>
      <c r="R1106" s="84"/>
      <c r="S1106" s="84"/>
      <c r="T1106" s="84"/>
      <c r="U1106" s="84"/>
      <c r="V1106" s="84"/>
      <c r="W1106" s="84"/>
      <c r="Y1106" s="84"/>
      <c r="Z1106" s="84"/>
      <c r="AA1106" s="84"/>
      <c r="AB1106" s="84"/>
      <c r="AC1106" s="84"/>
      <c r="AD1106" s="84"/>
      <c r="AE1106" s="84"/>
      <c r="AF1106" s="84"/>
      <c r="AG1106" s="84"/>
      <c r="AH1106" s="84"/>
      <c r="AI1106" s="84"/>
      <c r="AL1106" s="84"/>
      <c r="AM1106" s="84"/>
      <c r="AN1106" s="84"/>
      <c r="AO1106" s="84"/>
      <c r="AP1106" s="84"/>
      <c r="AQ1106" s="84"/>
      <c r="AR1106" s="84"/>
      <c r="AS1106" s="84"/>
      <c r="AT1106" s="84"/>
      <c r="AU1106" s="84"/>
      <c r="AV1106" s="84"/>
      <c r="AY1106" s="84"/>
      <c r="AZ1106" s="84"/>
      <c r="BA1106" s="84"/>
      <c r="BB1106" s="84"/>
      <c r="BC1106" s="84"/>
      <c r="BD1106" s="84"/>
      <c r="BE1106" s="84"/>
      <c r="BF1106" s="942"/>
      <c r="BG1106" s="942"/>
      <c r="BH1106" s="942"/>
      <c r="BI1106" s="84"/>
      <c r="BL1106" s="84"/>
      <c r="BM1106" s="84"/>
      <c r="BN1106" s="84"/>
      <c r="BO1106" s="84"/>
      <c r="BP1106" s="84"/>
      <c r="BQ1106" s="84"/>
      <c r="BR1106" s="84"/>
      <c r="BS1106" s="942"/>
      <c r="BT1106" s="942"/>
      <c r="BU1106" s="942"/>
      <c r="BV1106" s="84"/>
    </row>
    <row r="1107" spans="14:74" ht="14.25">
      <c r="N1107" s="84"/>
      <c r="O1107" s="84"/>
      <c r="P1107" s="84"/>
      <c r="Q1107" s="84"/>
      <c r="R1107" s="84"/>
      <c r="S1107" s="84"/>
      <c r="T1107" s="84"/>
      <c r="U1107" s="84"/>
      <c r="V1107" s="84"/>
      <c r="W1107" s="84"/>
      <c r="Y1107" s="84"/>
      <c r="Z1107" s="84"/>
      <c r="AA1107" s="84"/>
      <c r="AB1107" s="84"/>
      <c r="AC1107" s="84"/>
      <c r="AD1107" s="84"/>
      <c r="AE1107" s="84"/>
      <c r="AF1107" s="84"/>
      <c r="AG1107" s="84"/>
      <c r="AH1107" s="84"/>
      <c r="AI1107" s="84"/>
      <c r="AL1107" s="84"/>
      <c r="AM1107" s="84"/>
      <c r="AN1107" s="84"/>
      <c r="AO1107" s="84"/>
      <c r="AP1107" s="84"/>
      <c r="AQ1107" s="84"/>
      <c r="AR1107" s="84"/>
      <c r="AS1107" s="84"/>
      <c r="AT1107" s="84"/>
      <c r="AU1107" s="84"/>
      <c r="AV1107" s="84"/>
      <c r="AY1107" s="84"/>
      <c r="AZ1107" s="84"/>
      <c r="BA1107" s="84"/>
      <c r="BB1107" s="84"/>
      <c r="BC1107" s="84"/>
      <c r="BD1107" s="84"/>
      <c r="BE1107" s="84"/>
      <c r="BF1107" s="942"/>
      <c r="BG1107" s="942"/>
      <c r="BH1107" s="942"/>
      <c r="BI1107" s="84"/>
      <c r="BL1107" s="84"/>
      <c r="BM1107" s="84"/>
      <c r="BN1107" s="84"/>
      <c r="BO1107" s="84"/>
      <c r="BP1107" s="84"/>
      <c r="BQ1107" s="84"/>
      <c r="BR1107" s="84"/>
      <c r="BS1107" s="942"/>
      <c r="BT1107" s="942"/>
      <c r="BU1107" s="942"/>
      <c r="BV1107" s="84"/>
    </row>
    <row r="1108" spans="14:74" ht="14.25">
      <c r="N1108" s="84"/>
      <c r="O1108" s="84"/>
      <c r="P1108" s="84"/>
      <c r="Q1108" s="84"/>
      <c r="R1108" s="84"/>
      <c r="S1108" s="84"/>
      <c r="T1108" s="84"/>
      <c r="U1108" s="84"/>
      <c r="V1108" s="84"/>
      <c r="W1108" s="84"/>
      <c r="Y1108" s="84"/>
      <c r="Z1108" s="84"/>
      <c r="AA1108" s="84"/>
      <c r="AB1108" s="84"/>
      <c r="AC1108" s="84"/>
      <c r="AD1108" s="84"/>
      <c r="AE1108" s="84"/>
      <c r="AF1108" s="84"/>
      <c r="AG1108" s="84"/>
      <c r="AH1108" s="84"/>
      <c r="AI1108" s="84"/>
      <c r="AL1108" s="84"/>
      <c r="AM1108" s="84"/>
      <c r="AN1108" s="84"/>
      <c r="AO1108" s="84"/>
      <c r="AP1108" s="84"/>
      <c r="AQ1108" s="84"/>
      <c r="AR1108" s="84"/>
      <c r="AS1108" s="84"/>
      <c r="AT1108" s="84"/>
      <c r="AU1108" s="84"/>
      <c r="AV1108" s="84"/>
      <c r="AY1108" s="84"/>
      <c r="AZ1108" s="84"/>
      <c r="BA1108" s="84"/>
      <c r="BB1108" s="84"/>
      <c r="BC1108" s="84"/>
      <c r="BD1108" s="84"/>
      <c r="BE1108" s="84"/>
      <c r="BF1108" s="942"/>
      <c r="BG1108" s="942"/>
      <c r="BH1108" s="942"/>
      <c r="BI1108" s="84"/>
      <c r="BL1108" s="84"/>
      <c r="BM1108" s="84"/>
      <c r="BN1108" s="84"/>
      <c r="BO1108" s="84"/>
      <c r="BP1108" s="84"/>
      <c r="BQ1108" s="84"/>
      <c r="BR1108" s="84"/>
      <c r="BS1108" s="942"/>
      <c r="BT1108" s="942"/>
      <c r="BU1108" s="942"/>
      <c r="BV1108" s="84"/>
    </row>
    <row r="1109" spans="14:74" ht="14.25">
      <c r="N1109" s="84"/>
      <c r="O1109" s="84"/>
      <c r="P1109" s="84"/>
      <c r="Q1109" s="84"/>
      <c r="R1109" s="84"/>
      <c r="S1109" s="84"/>
      <c r="T1109" s="84"/>
      <c r="U1109" s="84"/>
      <c r="V1109" s="84"/>
      <c r="W1109" s="84"/>
      <c r="Y1109" s="84"/>
      <c r="Z1109" s="84"/>
      <c r="AA1109" s="84"/>
      <c r="AB1109" s="84"/>
      <c r="AC1109" s="84"/>
      <c r="AD1109" s="84"/>
      <c r="AE1109" s="84"/>
      <c r="AF1109" s="84"/>
      <c r="AG1109" s="84"/>
      <c r="AH1109" s="84"/>
      <c r="AI1109" s="84"/>
      <c r="AL1109" s="84"/>
      <c r="AM1109" s="84"/>
      <c r="AN1109" s="84"/>
      <c r="AO1109" s="84"/>
      <c r="AP1109" s="84"/>
      <c r="AQ1109" s="84"/>
      <c r="AR1109" s="84"/>
      <c r="AS1109" s="84"/>
      <c r="AT1109" s="84"/>
      <c r="AU1109" s="84"/>
      <c r="AV1109" s="84"/>
      <c r="AY1109" s="84"/>
      <c r="AZ1109" s="84"/>
      <c r="BA1109" s="84"/>
      <c r="BB1109" s="84"/>
      <c r="BC1109" s="84"/>
      <c r="BD1109" s="84"/>
      <c r="BE1109" s="84"/>
      <c r="BF1109" s="942"/>
      <c r="BG1109" s="942"/>
      <c r="BH1109" s="942"/>
      <c r="BI1109" s="84"/>
      <c r="BL1109" s="84"/>
      <c r="BM1109" s="84"/>
      <c r="BN1109" s="84"/>
      <c r="BO1109" s="84"/>
      <c r="BP1109" s="84"/>
      <c r="BQ1109" s="84"/>
      <c r="BR1109" s="84"/>
      <c r="BS1109" s="942"/>
      <c r="BT1109" s="942"/>
      <c r="BU1109" s="942"/>
      <c r="BV1109" s="84"/>
    </row>
    <row r="1110" spans="14:74" ht="14.25">
      <c r="N1110" s="84"/>
      <c r="O1110" s="84"/>
      <c r="P1110" s="84"/>
      <c r="Q1110" s="84"/>
      <c r="R1110" s="84"/>
      <c r="S1110" s="84"/>
      <c r="T1110" s="84"/>
      <c r="U1110" s="84"/>
      <c r="V1110" s="84"/>
      <c r="W1110" s="84"/>
      <c r="Y1110" s="84"/>
      <c r="Z1110" s="84"/>
      <c r="AA1110" s="84"/>
      <c r="AB1110" s="84"/>
      <c r="AC1110" s="84"/>
      <c r="AD1110" s="84"/>
      <c r="AE1110" s="84"/>
      <c r="AF1110" s="84"/>
      <c r="AG1110" s="84"/>
      <c r="AH1110" s="84"/>
      <c r="AI1110" s="84"/>
      <c r="AL1110" s="84"/>
      <c r="AM1110" s="84"/>
      <c r="AN1110" s="84"/>
      <c r="AO1110" s="84"/>
      <c r="AP1110" s="84"/>
      <c r="AQ1110" s="84"/>
      <c r="AR1110" s="84"/>
      <c r="AS1110" s="84"/>
      <c r="AT1110" s="84"/>
      <c r="AU1110" s="84"/>
      <c r="AV1110" s="84"/>
      <c r="AY1110" s="84"/>
      <c r="AZ1110" s="84"/>
      <c r="BA1110" s="84"/>
      <c r="BB1110" s="84"/>
      <c r="BC1110" s="84"/>
      <c r="BD1110" s="84"/>
      <c r="BE1110" s="84"/>
      <c r="BF1110" s="942"/>
      <c r="BG1110" s="942"/>
      <c r="BH1110" s="942"/>
      <c r="BI1110" s="84"/>
      <c r="BL1110" s="84"/>
      <c r="BM1110" s="84"/>
      <c r="BN1110" s="84"/>
      <c r="BO1110" s="84"/>
      <c r="BP1110" s="84"/>
      <c r="BQ1110" s="84"/>
      <c r="BR1110" s="84"/>
      <c r="BS1110" s="942"/>
      <c r="BT1110" s="942"/>
      <c r="BU1110" s="942"/>
      <c r="BV1110" s="84"/>
    </row>
    <row r="1111" spans="14:74" ht="14.25">
      <c r="N1111" s="84"/>
      <c r="O1111" s="84"/>
      <c r="P1111" s="84"/>
      <c r="Q1111" s="84"/>
      <c r="R1111" s="84"/>
      <c r="S1111" s="84"/>
      <c r="T1111" s="84"/>
      <c r="U1111" s="84"/>
      <c r="V1111" s="84"/>
      <c r="W1111" s="84"/>
      <c r="Y1111" s="84"/>
      <c r="Z1111" s="84"/>
      <c r="AA1111" s="84"/>
      <c r="AB1111" s="84"/>
      <c r="AC1111" s="84"/>
      <c r="AD1111" s="84"/>
      <c r="AE1111" s="84"/>
      <c r="AF1111" s="84"/>
      <c r="AG1111" s="84"/>
      <c r="AH1111" s="84"/>
      <c r="AI1111" s="84"/>
      <c r="AL1111" s="84"/>
      <c r="AM1111" s="84"/>
      <c r="AN1111" s="84"/>
      <c r="AO1111" s="84"/>
      <c r="AP1111" s="84"/>
      <c r="AQ1111" s="84"/>
      <c r="AR1111" s="84"/>
      <c r="AS1111" s="84"/>
      <c r="AT1111" s="84"/>
      <c r="AU1111" s="84"/>
      <c r="AV1111" s="84"/>
      <c r="AY1111" s="84"/>
      <c r="AZ1111" s="84"/>
      <c r="BA1111" s="84"/>
      <c r="BB1111" s="84"/>
      <c r="BC1111" s="84"/>
      <c r="BD1111" s="84"/>
      <c r="BE1111" s="84"/>
      <c r="BF1111" s="942"/>
      <c r="BG1111" s="942"/>
      <c r="BH1111" s="942"/>
      <c r="BI1111" s="84"/>
      <c r="BL1111" s="84"/>
      <c r="BM1111" s="84"/>
      <c r="BN1111" s="84"/>
      <c r="BO1111" s="84"/>
      <c r="BP1111" s="84"/>
      <c r="BQ1111" s="84"/>
      <c r="BR1111" s="84"/>
      <c r="BS1111" s="942"/>
      <c r="BT1111" s="942"/>
      <c r="BU1111" s="942"/>
      <c r="BV1111" s="84"/>
    </row>
    <row r="1112" spans="14:74" ht="14.25">
      <c r="N1112" s="84"/>
      <c r="O1112" s="84"/>
      <c r="P1112" s="84"/>
      <c r="Q1112" s="84"/>
      <c r="R1112" s="84"/>
      <c r="S1112" s="84"/>
      <c r="T1112" s="84"/>
      <c r="U1112" s="84"/>
      <c r="V1112" s="84"/>
      <c r="W1112" s="84"/>
      <c r="Y1112" s="84"/>
      <c r="Z1112" s="84"/>
      <c r="AA1112" s="84"/>
      <c r="AB1112" s="84"/>
      <c r="AC1112" s="84"/>
      <c r="AD1112" s="84"/>
      <c r="AE1112" s="84"/>
      <c r="AF1112" s="84"/>
      <c r="AG1112" s="84"/>
      <c r="AH1112" s="84"/>
      <c r="AI1112" s="84"/>
      <c r="AL1112" s="84"/>
      <c r="AM1112" s="84"/>
      <c r="AN1112" s="84"/>
      <c r="AO1112" s="84"/>
      <c r="AP1112" s="84"/>
      <c r="AQ1112" s="84"/>
      <c r="AR1112" s="84"/>
      <c r="AS1112" s="84"/>
      <c r="AT1112" s="84"/>
      <c r="AU1112" s="84"/>
      <c r="AV1112" s="84"/>
      <c r="AY1112" s="84"/>
      <c r="AZ1112" s="84"/>
      <c r="BA1112" s="84"/>
      <c r="BB1112" s="84"/>
      <c r="BC1112" s="84"/>
      <c r="BD1112" s="84"/>
      <c r="BE1112" s="84"/>
      <c r="BF1112" s="942"/>
      <c r="BG1112" s="942"/>
      <c r="BH1112" s="942"/>
      <c r="BI1112" s="84"/>
      <c r="BL1112" s="84"/>
      <c r="BM1112" s="84"/>
      <c r="BN1112" s="84"/>
      <c r="BO1112" s="84"/>
      <c r="BP1112" s="84"/>
      <c r="BQ1112" s="84"/>
      <c r="BR1112" s="84"/>
      <c r="BS1112" s="942"/>
      <c r="BT1112" s="942"/>
      <c r="BU1112" s="942"/>
      <c r="BV1112" s="84"/>
    </row>
    <row r="1113" spans="14:74" ht="14.25">
      <c r="N1113" s="84"/>
      <c r="O1113" s="84"/>
      <c r="P1113" s="84"/>
      <c r="Q1113" s="84"/>
      <c r="R1113" s="84"/>
      <c r="S1113" s="84"/>
      <c r="T1113" s="84"/>
      <c r="U1113" s="84"/>
      <c r="V1113" s="84"/>
      <c r="W1113" s="84"/>
      <c r="Y1113" s="84"/>
      <c r="Z1113" s="84"/>
      <c r="AA1113" s="84"/>
      <c r="AB1113" s="84"/>
      <c r="AC1113" s="84"/>
      <c r="AD1113" s="84"/>
      <c r="AE1113" s="84"/>
      <c r="AF1113" s="84"/>
      <c r="AG1113" s="84"/>
      <c r="AH1113" s="84"/>
      <c r="AI1113" s="84"/>
      <c r="AL1113" s="84"/>
      <c r="AM1113" s="84"/>
      <c r="AN1113" s="84"/>
      <c r="AO1113" s="84"/>
      <c r="AP1113" s="84"/>
      <c r="AQ1113" s="84"/>
      <c r="AR1113" s="84"/>
      <c r="AS1113" s="84"/>
      <c r="AT1113" s="84"/>
      <c r="AU1113" s="84"/>
      <c r="AV1113" s="84"/>
      <c r="AY1113" s="84"/>
      <c r="AZ1113" s="84"/>
      <c r="BA1113" s="84"/>
      <c r="BB1113" s="84"/>
      <c r="BC1113" s="84"/>
      <c r="BD1113" s="84"/>
      <c r="BE1113" s="84"/>
      <c r="BF1113" s="942"/>
      <c r="BG1113" s="942"/>
      <c r="BH1113" s="942"/>
      <c r="BI1113" s="84"/>
      <c r="BL1113" s="84"/>
      <c r="BM1113" s="84"/>
      <c r="BN1113" s="84"/>
      <c r="BO1113" s="84"/>
      <c r="BP1113" s="84"/>
      <c r="BQ1113" s="84"/>
      <c r="BR1113" s="84"/>
      <c r="BS1113" s="942"/>
      <c r="BT1113" s="942"/>
      <c r="BU1113" s="942"/>
      <c r="BV1113" s="84"/>
    </row>
    <row r="1114" spans="14:74" ht="14.25">
      <c r="N1114" s="84"/>
      <c r="O1114" s="84"/>
      <c r="P1114" s="84"/>
      <c r="Q1114" s="84"/>
      <c r="R1114" s="84"/>
      <c r="S1114" s="84"/>
      <c r="T1114" s="84"/>
      <c r="U1114" s="84"/>
      <c r="V1114" s="84"/>
      <c r="W1114" s="84"/>
      <c r="Y1114" s="84"/>
      <c r="Z1114" s="84"/>
      <c r="AA1114" s="84"/>
      <c r="AB1114" s="84"/>
      <c r="AC1114" s="84"/>
      <c r="AD1114" s="84"/>
      <c r="AE1114" s="84"/>
      <c r="AF1114" s="84"/>
      <c r="AG1114" s="84"/>
      <c r="AH1114" s="84"/>
      <c r="AI1114" s="84"/>
      <c r="AL1114" s="84"/>
      <c r="AM1114" s="84"/>
      <c r="AN1114" s="84"/>
      <c r="AO1114" s="84"/>
      <c r="AP1114" s="84"/>
      <c r="AQ1114" s="84"/>
      <c r="AR1114" s="84"/>
      <c r="AS1114" s="84"/>
      <c r="AT1114" s="84"/>
      <c r="AU1114" s="84"/>
      <c r="AV1114" s="84"/>
      <c r="AY1114" s="84"/>
      <c r="AZ1114" s="84"/>
      <c r="BA1114" s="84"/>
      <c r="BB1114" s="84"/>
      <c r="BC1114" s="84"/>
      <c r="BD1114" s="84"/>
      <c r="BE1114" s="84"/>
      <c r="BF1114" s="942"/>
      <c r="BG1114" s="942"/>
      <c r="BH1114" s="942"/>
      <c r="BI1114" s="84"/>
      <c r="BL1114" s="84"/>
      <c r="BM1114" s="84"/>
      <c r="BN1114" s="84"/>
      <c r="BO1114" s="84"/>
      <c r="BP1114" s="84"/>
      <c r="BQ1114" s="84"/>
      <c r="BR1114" s="84"/>
      <c r="BS1114" s="942"/>
      <c r="BT1114" s="942"/>
      <c r="BU1114" s="942"/>
      <c r="BV1114" s="84"/>
    </row>
    <row r="1115" spans="14:74" ht="14.25">
      <c r="N1115" s="84"/>
      <c r="O1115" s="84"/>
      <c r="P1115" s="84"/>
      <c r="Q1115" s="84"/>
      <c r="R1115" s="84"/>
      <c r="S1115" s="84"/>
      <c r="T1115" s="84"/>
      <c r="U1115" s="84"/>
      <c r="V1115" s="84"/>
      <c r="W1115" s="84"/>
      <c r="Y1115" s="84"/>
      <c r="Z1115" s="84"/>
      <c r="AA1115" s="84"/>
      <c r="AB1115" s="84"/>
      <c r="AC1115" s="84"/>
      <c r="AD1115" s="84"/>
      <c r="AE1115" s="84"/>
      <c r="AF1115" s="84"/>
      <c r="AG1115" s="84"/>
      <c r="AH1115" s="84"/>
      <c r="AI1115" s="84"/>
      <c r="AL1115" s="84"/>
      <c r="AM1115" s="84"/>
      <c r="AN1115" s="84"/>
      <c r="AO1115" s="84"/>
      <c r="AP1115" s="84"/>
      <c r="AQ1115" s="84"/>
      <c r="AR1115" s="84"/>
      <c r="AS1115" s="84"/>
      <c r="AT1115" s="84"/>
      <c r="AU1115" s="84"/>
      <c r="AV1115" s="84"/>
      <c r="AY1115" s="84"/>
      <c r="AZ1115" s="84"/>
      <c r="BA1115" s="84"/>
      <c r="BB1115" s="84"/>
      <c r="BC1115" s="84"/>
      <c r="BD1115" s="84"/>
      <c r="BE1115" s="84"/>
      <c r="BF1115" s="942"/>
      <c r="BG1115" s="942"/>
      <c r="BH1115" s="942"/>
      <c r="BI1115" s="84"/>
      <c r="BL1115" s="84"/>
      <c r="BM1115" s="84"/>
      <c r="BN1115" s="84"/>
      <c r="BO1115" s="84"/>
      <c r="BP1115" s="84"/>
      <c r="BQ1115" s="84"/>
      <c r="BR1115" s="84"/>
      <c r="BS1115" s="942"/>
      <c r="BT1115" s="942"/>
      <c r="BU1115" s="942"/>
      <c r="BV1115" s="84"/>
    </row>
    <row r="1116" spans="14:74" ht="14.25">
      <c r="N1116" s="84"/>
      <c r="O1116" s="84"/>
      <c r="P1116" s="84"/>
      <c r="Q1116" s="84"/>
      <c r="R1116" s="84"/>
      <c r="S1116" s="84"/>
      <c r="T1116" s="84"/>
      <c r="U1116" s="84"/>
      <c r="V1116" s="84"/>
      <c r="W1116" s="84"/>
      <c r="Y1116" s="84"/>
      <c r="Z1116" s="84"/>
      <c r="AA1116" s="84"/>
      <c r="AB1116" s="84"/>
      <c r="AC1116" s="84"/>
      <c r="AD1116" s="84"/>
      <c r="AE1116" s="84"/>
      <c r="AF1116" s="84"/>
      <c r="AG1116" s="84"/>
      <c r="AH1116" s="84"/>
      <c r="AI1116" s="84"/>
      <c r="AL1116" s="84"/>
      <c r="AM1116" s="84"/>
      <c r="AN1116" s="84"/>
      <c r="AO1116" s="84"/>
      <c r="AP1116" s="84"/>
      <c r="AQ1116" s="84"/>
      <c r="AR1116" s="84"/>
      <c r="AS1116" s="84"/>
      <c r="AT1116" s="84"/>
      <c r="AU1116" s="84"/>
      <c r="AV1116" s="84"/>
      <c r="AY1116" s="84"/>
      <c r="AZ1116" s="84"/>
      <c r="BA1116" s="84"/>
      <c r="BB1116" s="84"/>
      <c r="BC1116" s="84"/>
      <c r="BD1116" s="84"/>
      <c r="BE1116" s="84"/>
      <c r="BF1116" s="942"/>
      <c r="BG1116" s="942"/>
      <c r="BH1116" s="942"/>
      <c r="BI1116" s="84"/>
      <c r="BL1116" s="84"/>
      <c r="BM1116" s="84"/>
      <c r="BN1116" s="84"/>
      <c r="BO1116" s="84"/>
      <c r="BP1116" s="84"/>
      <c r="BQ1116" s="84"/>
      <c r="BR1116" s="84"/>
      <c r="BS1116" s="942"/>
      <c r="BT1116" s="942"/>
      <c r="BU1116" s="942"/>
      <c r="BV1116" s="84"/>
    </row>
    <row r="1117" spans="14:74" ht="14.25">
      <c r="N1117" s="84"/>
      <c r="O1117" s="84"/>
      <c r="P1117" s="84"/>
      <c r="Q1117" s="84"/>
      <c r="R1117" s="84"/>
      <c r="S1117" s="84"/>
      <c r="T1117" s="84"/>
      <c r="U1117" s="84"/>
      <c r="V1117" s="84"/>
      <c r="W1117" s="84"/>
      <c r="Y1117" s="84"/>
      <c r="Z1117" s="84"/>
      <c r="AA1117" s="84"/>
      <c r="AB1117" s="84"/>
      <c r="AC1117" s="84"/>
      <c r="AD1117" s="84"/>
      <c r="AE1117" s="84"/>
      <c r="AF1117" s="84"/>
      <c r="AG1117" s="84"/>
      <c r="AH1117" s="84"/>
      <c r="AI1117" s="84"/>
      <c r="AL1117" s="84"/>
      <c r="AM1117" s="84"/>
      <c r="AN1117" s="84"/>
      <c r="AO1117" s="84"/>
      <c r="AP1117" s="84"/>
      <c r="AQ1117" s="84"/>
      <c r="AR1117" s="84"/>
      <c r="AS1117" s="84"/>
      <c r="AT1117" s="84"/>
      <c r="AU1117" s="84"/>
      <c r="AV1117" s="84"/>
      <c r="AY1117" s="84"/>
      <c r="AZ1117" s="84"/>
      <c r="BA1117" s="84"/>
      <c r="BB1117" s="84"/>
      <c r="BC1117" s="84"/>
      <c r="BD1117" s="84"/>
      <c r="BE1117" s="84"/>
      <c r="BF1117" s="942"/>
      <c r="BG1117" s="942"/>
      <c r="BH1117" s="942"/>
      <c r="BI1117" s="84"/>
      <c r="BL1117" s="84"/>
      <c r="BM1117" s="84"/>
      <c r="BN1117" s="84"/>
      <c r="BO1117" s="84"/>
      <c r="BP1117" s="84"/>
      <c r="BQ1117" s="84"/>
      <c r="BR1117" s="84"/>
      <c r="BS1117" s="942"/>
      <c r="BT1117" s="942"/>
      <c r="BU1117" s="942"/>
      <c r="BV1117" s="84"/>
    </row>
    <row r="1118" spans="14:74" ht="14.25">
      <c r="N1118" s="84"/>
      <c r="O1118" s="84"/>
      <c r="P1118" s="84"/>
      <c r="Q1118" s="84"/>
      <c r="R1118" s="84"/>
      <c r="S1118" s="84"/>
      <c r="T1118" s="84"/>
      <c r="U1118" s="84"/>
      <c r="V1118" s="84"/>
      <c r="W1118" s="84"/>
      <c r="Y1118" s="84"/>
      <c r="Z1118" s="84"/>
      <c r="AA1118" s="84"/>
      <c r="AB1118" s="84"/>
      <c r="AC1118" s="84"/>
      <c r="AD1118" s="84"/>
      <c r="AE1118" s="84"/>
      <c r="AF1118" s="84"/>
      <c r="AG1118" s="84"/>
      <c r="AH1118" s="84"/>
      <c r="AI1118" s="84"/>
      <c r="AL1118" s="84"/>
      <c r="AM1118" s="84"/>
      <c r="AN1118" s="84"/>
      <c r="AO1118" s="84"/>
      <c r="AP1118" s="84"/>
      <c r="AQ1118" s="84"/>
      <c r="AR1118" s="84"/>
      <c r="AS1118" s="84"/>
      <c r="AT1118" s="84"/>
      <c r="AU1118" s="84"/>
      <c r="AV1118" s="84"/>
      <c r="AY1118" s="84"/>
      <c r="AZ1118" s="84"/>
      <c r="BA1118" s="84"/>
      <c r="BB1118" s="84"/>
      <c r="BC1118" s="84"/>
      <c r="BD1118" s="84"/>
      <c r="BE1118" s="84"/>
      <c r="BF1118" s="942"/>
      <c r="BG1118" s="942"/>
      <c r="BH1118" s="942"/>
      <c r="BI1118" s="84"/>
      <c r="BL1118" s="84"/>
      <c r="BM1118" s="84"/>
      <c r="BN1118" s="84"/>
      <c r="BO1118" s="84"/>
      <c r="BP1118" s="84"/>
      <c r="BQ1118" s="84"/>
      <c r="BR1118" s="84"/>
      <c r="BS1118" s="942"/>
      <c r="BT1118" s="942"/>
      <c r="BU1118" s="942"/>
      <c r="BV1118" s="84"/>
    </row>
    <row r="1119" spans="14:74" ht="14.25">
      <c r="N1119" s="84"/>
      <c r="O1119" s="84"/>
      <c r="P1119" s="84"/>
      <c r="Q1119" s="84"/>
      <c r="R1119" s="84"/>
      <c r="S1119" s="84"/>
      <c r="T1119" s="84"/>
      <c r="U1119" s="84"/>
      <c r="V1119" s="84"/>
      <c r="W1119" s="84"/>
      <c r="Y1119" s="84"/>
      <c r="Z1119" s="84"/>
      <c r="AA1119" s="84"/>
      <c r="AB1119" s="84"/>
      <c r="AC1119" s="84"/>
      <c r="AD1119" s="84"/>
      <c r="AE1119" s="84"/>
      <c r="AF1119" s="84"/>
      <c r="AG1119" s="84"/>
      <c r="AH1119" s="84"/>
      <c r="AI1119" s="84"/>
      <c r="AL1119" s="84"/>
      <c r="AM1119" s="84"/>
      <c r="AN1119" s="84"/>
      <c r="AO1119" s="84"/>
      <c r="AP1119" s="84"/>
      <c r="AQ1119" s="84"/>
      <c r="AR1119" s="84"/>
      <c r="AS1119" s="84"/>
      <c r="AT1119" s="84"/>
      <c r="AU1119" s="84"/>
      <c r="AV1119" s="84"/>
      <c r="AY1119" s="84"/>
      <c r="AZ1119" s="84"/>
      <c r="BA1119" s="84"/>
      <c r="BB1119" s="84"/>
      <c r="BC1119" s="84"/>
      <c r="BD1119" s="84"/>
      <c r="BE1119" s="84"/>
      <c r="BF1119" s="942"/>
      <c r="BG1119" s="942"/>
      <c r="BH1119" s="942"/>
      <c r="BI1119" s="84"/>
      <c r="BL1119" s="84"/>
      <c r="BM1119" s="84"/>
      <c r="BN1119" s="84"/>
      <c r="BO1119" s="84"/>
      <c r="BP1119" s="84"/>
      <c r="BQ1119" s="84"/>
      <c r="BR1119" s="84"/>
      <c r="BS1119" s="942"/>
      <c r="BT1119" s="942"/>
      <c r="BU1119" s="942"/>
      <c r="BV1119" s="84"/>
    </row>
    <row r="1120" spans="14:74" ht="14.25">
      <c r="N1120" s="84"/>
      <c r="O1120" s="84"/>
      <c r="P1120" s="84"/>
      <c r="Q1120" s="84"/>
      <c r="R1120" s="84"/>
      <c r="S1120" s="84"/>
      <c r="T1120" s="84"/>
      <c r="U1120" s="84"/>
      <c r="V1120" s="84"/>
      <c r="W1120" s="84"/>
      <c r="Y1120" s="84"/>
      <c r="Z1120" s="84"/>
      <c r="AA1120" s="84"/>
      <c r="AB1120" s="84"/>
      <c r="AC1120" s="84"/>
      <c r="AD1120" s="84"/>
      <c r="AE1120" s="84"/>
      <c r="AF1120" s="84"/>
      <c r="AG1120" s="84"/>
      <c r="AH1120" s="84"/>
      <c r="AI1120" s="84"/>
      <c r="AL1120" s="84"/>
      <c r="AM1120" s="84"/>
      <c r="AN1120" s="84"/>
      <c r="AO1120" s="84"/>
      <c r="AP1120" s="84"/>
      <c r="AQ1120" s="84"/>
      <c r="AR1120" s="84"/>
      <c r="AS1120" s="84"/>
      <c r="AT1120" s="84"/>
      <c r="AU1120" s="84"/>
      <c r="AV1120" s="84"/>
      <c r="AY1120" s="84"/>
      <c r="AZ1120" s="84"/>
      <c r="BA1120" s="84"/>
      <c r="BB1120" s="84"/>
      <c r="BC1120" s="84"/>
      <c r="BD1120" s="84"/>
      <c r="BE1120" s="84"/>
      <c r="BF1120" s="942"/>
      <c r="BG1120" s="942"/>
      <c r="BH1120" s="942"/>
      <c r="BI1120" s="84"/>
      <c r="BL1120" s="84"/>
      <c r="BM1120" s="84"/>
      <c r="BN1120" s="84"/>
      <c r="BO1120" s="84"/>
      <c r="BP1120" s="84"/>
      <c r="BQ1120" s="84"/>
      <c r="BR1120" s="84"/>
      <c r="BS1120" s="942"/>
      <c r="BT1120" s="942"/>
      <c r="BU1120" s="942"/>
      <c r="BV1120" s="84"/>
    </row>
    <row r="1121" spans="14:74" ht="14.25">
      <c r="N1121" s="84"/>
      <c r="O1121" s="84"/>
      <c r="P1121" s="84"/>
      <c r="Q1121" s="84"/>
      <c r="R1121" s="84"/>
      <c r="S1121" s="84"/>
      <c r="T1121" s="84"/>
      <c r="U1121" s="84"/>
      <c r="V1121" s="84"/>
      <c r="W1121" s="84"/>
      <c r="Y1121" s="84"/>
      <c r="Z1121" s="84"/>
      <c r="AA1121" s="84"/>
      <c r="AB1121" s="84"/>
      <c r="AC1121" s="84"/>
      <c r="AD1121" s="84"/>
      <c r="AE1121" s="84"/>
      <c r="AF1121" s="84"/>
      <c r="AG1121" s="84"/>
      <c r="AH1121" s="84"/>
      <c r="AI1121" s="84"/>
      <c r="AL1121" s="84"/>
      <c r="AM1121" s="84"/>
      <c r="AN1121" s="84"/>
      <c r="AO1121" s="84"/>
      <c r="AP1121" s="84"/>
      <c r="AQ1121" s="84"/>
      <c r="AR1121" s="84"/>
      <c r="AS1121" s="84"/>
      <c r="AT1121" s="84"/>
      <c r="AU1121" s="84"/>
      <c r="AV1121" s="84"/>
      <c r="AY1121" s="84"/>
      <c r="AZ1121" s="84"/>
      <c r="BA1121" s="84"/>
      <c r="BB1121" s="84"/>
      <c r="BC1121" s="84"/>
      <c r="BD1121" s="84"/>
      <c r="BE1121" s="84"/>
      <c r="BF1121" s="942"/>
      <c r="BG1121" s="942"/>
      <c r="BH1121" s="942"/>
      <c r="BI1121" s="84"/>
      <c r="BL1121" s="84"/>
      <c r="BM1121" s="84"/>
      <c r="BN1121" s="84"/>
      <c r="BO1121" s="84"/>
      <c r="BP1121" s="84"/>
      <c r="BQ1121" s="84"/>
      <c r="BR1121" s="84"/>
      <c r="BS1121" s="942"/>
      <c r="BT1121" s="942"/>
      <c r="BU1121" s="942"/>
      <c r="BV1121" s="84"/>
    </row>
    <row r="1122" spans="14:74" ht="14.25">
      <c r="N1122" s="84"/>
      <c r="O1122" s="84"/>
      <c r="P1122" s="84"/>
      <c r="Q1122" s="84"/>
      <c r="R1122" s="84"/>
      <c r="S1122" s="84"/>
      <c r="T1122" s="84"/>
      <c r="U1122" s="84"/>
      <c r="V1122" s="84"/>
      <c r="W1122" s="84"/>
      <c r="Y1122" s="84"/>
      <c r="Z1122" s="84"/>
      <c r="AA1122" s="84"/>
      <c r="AB1122" s="84"/>
      <c r="AC1122" s="84"/>
      <c r="AD1122" s="84"/>
      <c r="AE1122" s="84"/>
      <c r="AF1122" s="84"/>
      <c r="AG1122" s="84"/>
      <c r="AH1122" s="84"/>
      <c r="AI1122" s="84"/>
      <c r="AL1122" s="84"/>
      <c r="AM1122" s="84"/>
      <c r="AN1122" s="84"/>
      <c r="AO1122" s="84"/>
      <c r="AP1122" s="84"/>
      <c r="AQ1122" s="84"/>
      <c r="AR1122" s="84"/>
      <c r="AS1122" s="84"/>
      <c r="AT1122" s="84"/>
      <c r="AU1122" s="84"/>
      <c r="AV1122" s="84"/>
      <c r="AY1122" s="84"/>
      <c r="AZ1122" s="84"/>
      <c r="BA1122" s="84"/>
      <c r="BB1122" s="84"/>
      <c r="BC1122" s="84"/>
      <c r="BD1122" s="84"/>
      <c r="BE1122" s="84"/>
      <c r="BF1122" s="942"/>
      <c r="BG1122" s="942"/>
      <c r="BH1122" s="942"/>
      <c r="BI1122" s="84"/>
      <c r="BL1122" s="84"/>
      <c r="BM1122" s="84"/>
      <c r="BN1122" s="84"/>
      <c r="BO1122" s="84"/>
      <c r="BP1122" s="84"/>
      <c r="BQ1122" s="84"/>
      <c r="BR1122" s="84"/>
      <c r="BS1122" s="942"/>
      <c r="BT1122" s="942"/>
      <c r="BU1122" s="942"/>
      <c r="BV1122" s="84"/>
    </row>
    <row r="1123" spans="14:74" ht="14.25">
      <c r="N1123" s="84"/>
      <c r="O1123" s="84"/>
      <c r="P1123" s="84"/>
      <c r="Q1123" s="84"/>
      <c r="R1123" s="84"/>
      <c r="S1123" s="84"/>
      <c r="T1123" s="84"/>
      <c r="U1123" s="84"/>
      <c r="V1123" s="84"/>
      <c r="W1123" s="84"/>
      <c r="Y1123" s="84"/>
      <c r="Z1123" s="84"/>
      <c r="AA1123" s="84"/>
      <c r="AB1123" s="84"/>
      <c r="AC1123" s="84"/>
      <c r="AD1123" s="84"/>
      <c r="AE1123" s="84"/>
      <c r="AF1123" s="84"/>
      <c r="AG1123" s="84"/>
      <c r="AH1123" s="84"/>
      <c r="AI1123" s="84"/>
      <c r="AL1123" s="84"/>
      <c r="AM1123" s="84"/>
      <c r="AN1123" s="84"/>
      <c r="AO1123" s="84"/>
      <c r="AP1123" s="84"/>
      <c r="AQ1123" s="84"/>
      <c r="AR1123" s="84"/>
      <c r="AS1123" s="84"/>
      <c r="AT1123" s="84"/>
      <c r="AU1123" s="84"/>
      <c r="AV1123" s="84"/>
      <c r="AY1123" s="84"/>
      <c r="AZ1123" s="84"/>
      <c r="BA1123" s="84"/>
      <c r="BB1123" s="84"/>
      <c r="BC1123" s="84"/>
      <c r="BD1123" s="84"/>
      <c r="BE1123" s="84"/>
      <c r="BF1123" s="942"/>
      <c r="BG1123" s="942"/>
      <c r="BH1123" s="942"/>
      <c r="BI1123" s="84"/>
      <c r="BL1123" s="84"/>
      <c r="BM1123" s="84"/>
      <c r="BN1123" s="84"/>
      <c r="BO1123" s="84"/>
      <c r="BP1123" s="84"/>
      <c r="BQ1123" s="84"/>
      <c r="BR1123" s="84"/>
      <c r="BS1123" s="942"/>
      <c r="BT1123" s="942"/>
      <c r="BU1123" s="942"/>
      <c r="BV1123" s="84"/>
    </row>
    <row r="1124" spans="14:74" ht="14.25">
      <c r="N1124" s="84"/>
      <c r="O1124" s="84"/>
      <c r="P1124" s="84"/>
      <c r="Q1124" s="84"/>
      <c r="R1124" s="84"/>
      <c r="S1124" s="84"/>
      <c r="T1124" s="84"/>
      <c r="U1124" s="84"/>
      <c r="V1124" s="84"/>
      <c r="W1124" s="84"/>
      <c r="Y1124" s="84"/>
      <c r="Z1124" s="84"/>
      <c r="AA1124" s="84"/>
      <c r="AB1124" s="84"/>
      <c r="AC1124" s="84"/>
      <c r="AD1124" s="84"/>
      <c r="AE1124" s="84"/>
      <c r="AF1124" s="84"/>
      <c r="AG1124" s="84"/>
      <c r="AH1124" s="84"/>
      <c r="AI1124" s="84"/>
      <c r="AL1124" s="84"/>
      <c r="AM1124" s="84"/>
      <c r="AN1124" s="84"/>
      <c r="AO1124" s="84"/>
      <c r="AP1124" s="84"/>
      <c r="AQ1124" s="84"/>
      <c r="AR1124" s="84"/>
      <c r="AS1124" s="84"/>
      <c r="AT1124" s="84"/>
      <c r="AU1124" s="84"/>
      <c r="AV1124" s="84"/>
      <c r="AY1124" s="84"/>
      <c r="AZ1124" s="84"/>
      <c r="BA1124" s="84"/>
      <c r="BB1124" s="84"/>
      <c r="BC1124" s="84"/>
      <c r="BD1124" s="84"/>
      <c r="BE1124" s="84"/>
      <c r="BF1124" s="942"/>
      <c r="BG1124" s="942"/>
      <c r="BH1124" s="942"/>
      <c r="BI1124" s="84"/>
      <c r="BL1124" s="84"/>
      <c r="BM1124" s="84"/>
      <c r="BN1124" s="84"/>
      <c r="BO1124" s="84"/>
      <c r="BP1124" s="84"/>
      <c r="BQ1124" s="84"/>
      <c r="BR1124" s="84"/>
      <c r="BS1124" s="942"/>
      <c r="BT1124" s="942"/>
      <c r="BU1124" s="942"/>
      <c r="BV1124" s="84"/>
    </row>
    <row r="1125" spans="14:74" ht="14.25">
      <c r="N1125" s="84"/>
      <c r="O1125" s="84"/>
      <c r="P1125" s="84"/>
      <c r="Q1125" s="84"/>
      <c r="R1125" s="84"/>
      <c r="S1125" s="84"/>
      <c r="T1125" s="84"/>
      <c r="U1125" s="84"/>
      <c r="V1125" s="84"/>
      <c r="W1125" s="84"/>
      <c r="Y1125" s="84"/>
      <c r="Z1125" s="84"/>
      <c r="AA1125" s="84"/>
      <c r="AB1125" s="84"/>
      <c r="AC1125" s="84"/>
      <c r="AD1125" s="84"/>
      <c r="AE1125" s="84"/>
      <c r="AF1125" s="84"/>
      <c r="AG1125" s="84"/>
      <c r="AH1125" s="84"/>
      <c r="AI1125" s="84"/>
      <c r="AL1125" s="84"/>
      <c r="AM1125" s="84"/>
      <c r="AN1125" s="84"/>
      <c r="AO1125" s="84"/>
      <c r="AP1125" s="84"/>
      <c r="AQ1125" s="84"/>
      <c r="AR1125" s="84"/>
      <c r="AS1125" s="84"/>
      <c r="AT1125" s="84"/>
      <c r="AU1125" s="84"/>
      <c r="AV1125" s="84"/>
      <c r="AY1125" s="84"/>
      <c r="AZ1125" s="84"/>
      <c r="BA1125" s="84"/>
      <c r="BB1125" s="84"/>
      <c r="BC1125" s="84"/>
      <c r="BD1125" s="84"/>
      <c r="BE1125" s="84"/>
      <c r="BF1125" s="942"/>
      <c r="BG1125" s="942"/>
      <c r="BH1125" s="942"/>
      <c r="BI1125" s="84"/>
      <c r="BL1125" s="84"/>
      <c r="BM1125" s="84"/>
      <c r="BN1125" s="84"/>
      <c r="BO1125" s="84"/>
      <c r="BP1125" s="84"/>
      <c r="BQ1125" s="84"/>
      <c r="BR1125" s="84"/>
      <c r="BS1125" s="942"/>
      <c r="BT1125" s="942"/>
      <c r="BU1125" s="942"/>
      <c r="BV1125" s="84"/>
    </row>
    <row r="1126" spans="14:74" ht="14.25">
      <c r="N1126" s="84"/>
      <c r="O1126" s="84"/>
      <c r="P1126" s="84"/>
      <c r="Q1126" s="84"/>
      <c r="R1126" s="84"/>
      <c r="S1126" s="84"/>
      <c r="T1126" s="84"/>
      <c r="U1126" s="84"/>
      <c r="V1126" s="84"/>
      <c r="W1126" s="84"/>
      <c r="Y1126" s="84"/>
      <c r="Z1126" s="84"/>
      <c r="AA1126" s="84"/>
      <c r="AB1126" s="84"/>
      <c r="AC1126" s="84"/>
      <c r="AD1126" s="84"/>
      <c r="AE1126" s="84"/>
      <c r="AF1126" s="84"/>
      <c r="AG1126" s="84"/>
      <c r="AH1126" s="84"/>
      <c r="AI1126" s="84"/>
      <c r="AL1126" s="84"/>
      <c r="AM1126" s="84"/>
      <c r="AN1126" s="84"/>
      <c r="AO1126" s="84"/>
      <c r="AP1126" s="84"/>
      <c r="AQ1126" s="84"/>
      <c r="AR1126" s="84"/>
      <c r="AS1126" s="84"/>
      <c r="AT1126" s="84"/>
      <c r="AU1126" s="84"/>
      <c r="AV1126" s="84"/>
      <c r="AY1126" s="84"/>
      <c r="AZ1126" s="84"/>
      <c r="BA1126" s="84"/>
      <c r="BB1126" s="84"/>
      <c r="BC1126" s="84"/>
      <c r="BD1126" s="84"/>
      <c r="BE1126" s="84"/>
      <c r="BF1126" s="942"/>
      <c r="BG1126" s="942"/>
      <c r="BH1126" s="942"/>
      <c r="BI1126" s="84"/>
      <c r="BL1126" s="84"/>
      <c r="BM1126" s="84"/>
      <c r="BN1126" s="84"/>
      <c r="BO1126" s="84"/>
      <c r="BP1126" s="84"/>
      <c r="BQ1126" s="84"/>
      <c r="BR1126" s="84"/>
      <c r="BS1126" s="942"/>
      <c r="BT1126" s="942"/>
      <c r="BU1126" s="942"/>
      <c r="BV1126" s="84"/>
    </row>
    <row r="1127" spans="14:74" ht="14.25">
      <c r="N1127" s="84"/>
      <c r="O1127" s="84"/>
      <c r="P1127" s="84"/>
      <c r="Q1127" s="84"/>
      <c r="R1127" s="84"/>
      <c r="S1127" s="84"/>
      <c r="T1127" s="84"/>
      <c r="U1127" s="84"/>
      <c r="V1127" s="84"/>
      <c r="W1127" s="84"/>
      <c r="Y1127" s="84"/>
      <c r="Z1127" s="84"/>
      <c r="AA1127" s="84"/>
      <c r="AB1127" s="84"/>
      <c r="AC1127" s="84"/>
      <c r="AD1127" s="84"/>
      <c r="AE1127" s="84"/>
      <c r="AF1127" s="84"/>
      <c r="AG1127" s="84"/>
      <c r="AH1127" s="84"/>
      <c r="AI1127" s="84"/>
      <c r="AL1127" s="84"/>
      <c r="AM1127" s="84"/>
      <c r="AN1127" s="84"/>
      <c r="AO1127" s="84"/>
      <c r="AP1127" s="84"/>
      <c r="AQ1127" s="84"/>
      <c r="AR1127" s="84"/>
      <c r="AS1127" s="84"/>
      <c r="AT1127" s="84"/>
      <c r="AU1127" s="84"/>
      <c r="AV1127" s="84"/>
      <c r="AY1127" s="84"/>
      <c r="AZ1127" s="84"/>
      <c r="BA1127" s="84"/>
      <c r="BB1127" s="84"/>
      <c r="BC1127" s="84"/>
      <c r="BD1127" s="84"/>
      <c r="BE1127" s="84"/>
      <c r="BF1127" s="942"/>
      <c r="BG1127" s="942"/>
      <c r="BH1127" s="942"/>
      <c r="BI1127" s="84"/>
      <c r="BL1127" s="84"/>
      <c r="BM1127" s="84"/>
      <c r="BN1127" s="84"/>
      <c r="BO1127" s="84"/>
      <c r="BP1127" s="84"/>
      <c r="BQ1127" s="84"/>
      <c r="BR1127" s="84"/>
      <c r="BS1127" s="942"/>
      <c r="BT1127" s="942"/>
      <c r="BU1127" s="942"/>
      <c r="BV1127" s="84"/>
    </row>
    <row r="1128" spans="14:74" ht="14.25">
      <c r="N1128" s="84"/>
      <c r="O1128" s="84"/>
      <c r="P1128" s="84"/>
      <c r="Q1128" s="84"/>
      <c r="R1128" s="84"/>
      <c r="S1128" s="84"/>
      <c r="T1128" s="84"/>
      <c r="U1128" s="84"/>
      <c r="V1128" s="84"/>
      <c r="W1128" s="84"/>
      <c r="Y1128" s="84"/>
      <c r="Z1128" s="84"/>
      <c r="AA1128" s="84"/>
      <c r="AB1128" s="84"/>
      <c r="AC1128" s="84"/>
      <c r="AD1128" s="84"/>
      <c r="AE1128" s="84"/>
      <c r="AF1128" s="84"/>
      <c r="AG1128" s="84"/>
      <c r="AH1128" s="84"/>
      <c r="AI1128" s="84"/>
      <c r="AL1128" s="84"/>
      <c r="AM1128" s="84"/>
      <c r="AN1128" s="84"/>
      <c r="AO1128" s="84"/>
      <c r="AP1128" s="84"/>
      <c r="AQ1128" s="84"/>
      <c r="AR1128" s="84"/>
      <c r="AS1128" s="84"/>
      <c r="AT1128" s="84"/>
      <c r="AU1128" s="84"/>
      <c r="AV1128" s="84"/>
      <c r="AY1128" s="84"/>
      <c r="AZ1128" s="84"/>
      <c r="BA1128" s="84"/>
      <c r="BB1128" s="84"/>
      <c r="BC1128" s="84"/>
      <c r="BD1128" s="84"/>
      <c r="BE1128" s="84"/>
      <c r="BF1128" s="942"/>
      <c r="BG1128" s="942"/>
      <c r="BH1128" s="942"/>
      <c r="BI1128" s="84"/>
      <c r="BL1128" s="84"/>
      <c r="BM1128" s="84"/>
      <c r="BN1128" s="84"/>
      <c r="BO1128" s="84"/>
      <c r="BP1128" s="84"/>
      <c r="BQ1128" s="84"/>
      <c r="BR1128" s="84"/>
      <c r="BS1128" s="942"/>
      <c r="BT1128" s="942"/>
      <c r="BU1128" s="942"/>
      <c r="BV1128" s="84"/>
    </row>
    <row r="1129" spans="14:74" ht="14.25">
      <c r="N1129" s="84"/>
      <c r="O1129" s="84"/>
      <c r="P1129" s="84"/>
      <c r="Q1129" s="84"/>
      <c r="R1129" s="84"/>
      <c r="S1129" s="84"/>
      <c r="T1129" s="84"/>
      <c r="U1129" s="84"/>
      <c r="V1129" s="84"/>
      <c r="W1129" s="84"/>
      <c r="Y1129" s="84"/>
      <c r="Z1129" s="84"/>
      <c r="AA1129" s="84"/>
      <c r="AB1129" s="84"/>
      <c r="AC1129" s="84"/>
      <c r="AD1129" s="84"/>
      <c r="AE1129" s="84"/>
      <c r="AF1129" s="84"/>
      <c r="AG1129" s="84"/>
      <c r="AH1129" s="84"/>
      <c r="AI1129" s="84"/>
      <c r="AL1129" s="84"/>
      <c r="AM1129" s="84"/>
      <c r="AN1129" s="84"/>
      <c r="AO1129" s="84"/>
      <c r="AP1129" s="84"/>
      <c r="AQ1129" s="84"/>
      <c r="AR1129" s="84"/>
      <c r="AS1129" s="84"/>
      <c r="AT1129" s="84"/>
      <c r="AU1129" s="84"/>
      <c r="AV1129" s="84"/>
      <c r="AY1129" s="84"/>
      <c r="AZ1129" s="84"/>
      <c r="BA1129" s="84"/>
      <c r="BB1129" s="84"/>
      <c r="BC1129" s="84"/>
      <c r="BD1129" s="84"/>
      <c r="BE1129" s="84"/>
      <c r="BF1129" s="942"/>
      <c r="BG1129" s="942"/>
      <c r="BH1129" s="942"/>
      <c r="BI1129" s="84"/>
      <c r="BL1129" s="84"/>
      <c r="BM1129" s="84"/>
      <c r="BN1129" s="84"/>
      <c r="BO1129" s="84"/>
      <c r="BP1129" s="84"/>
      <c r="BQ1129" s="84"/>
      <c r="BR1129" s="84"/>
      <c r="BS1129" s="942"/>
      <c r="BT1129" s="942"/>
      <c r="BU1129" s="942"/>
      <c r="BV1129" s="84"/>
    </row>
    <row r="1130" spans="14:74" ht="14.25">
      <c r="N1130" s="84"/>
      <c r="O1130" s="84"/>
      <c r="P1130" s="84"/>
      <c r="Q1130" s="84"/>
      <c r="R1130" s="84"/>
      <c r="S1130" s="84"/>
      <c r="T1130" s="84"/>
      <c r="U1130" s="84"/>
      <c r="V1130" s="84"/>
      <c r="W1130" s="84"/>
      <c r="Y1130" s="84"/>
      <c r="Z1130" s="84"/>
      <c r="AA1130" s="84"/>
      <c r="AB1130" s="84"/>
      <c r="AC1130" s="84"/>
      <c r="AD1130" s="84"/>
      <c r="AE1130" s="84"/>
      <c r="AF1130" s="84"/>
      <c r="AG1130" s="84"/>
      <c r="AH1130" s="84"/>
      <c r="AI1130" s="84"/>
      <c r="AL1130" s="84"/>
      <c r="AM1130" s="84"/>
      <c r="AN1130" s="84"/>
      <c r="AO1130" s="84"/>
      <c r="AP1130" s="84"/>
      <c r="AQ1130" s="84"/>
      <c r="AR1130" s="84"/>
      <c r="AS1130" s="84"/>
      <c r="AT1130" s="84"/>
      <c r="AU1130" s="84"/>
      <c r="AV1130" s="84"/>
      <c r="AY1130" s="84"/>
      <c r="AZ1130" s="84"/>
      <c r="BA1130" s="84"/>
      <c r="BB1130" s="84"/>
      <c r="BC1130" s="84"/>
      <c r="BD1130" s="84"/>
      <c r="BE1130" s="84"/>
      <c r="BF1130" s="942"/>
      <c r="BG1130" s="942"/>
      <c r="BH1130" s="942"/>
      <c r="BI1130" s="84"/>
      <c r="BL1130" s="84"/>
      <c r="BM1130" s="84"/>
      <c r="BN1130" s="84"/>
      <c r="BO1130" s="84"/>
      <c r="BP1130" s="84"/>
      <c r="BQ1130" s="84"/>
      <c r="BR1130" s="84"/>
      <c r="BS1130" s="942"/>
      <c r="BT1130" s="942"/>
      <c r="BU1130" s="942"/>
      <c r="BV1130" s="84"/>
    </row>
    <row r="1131" spans="14:74" ht="14.25">
      <c r="N1131" s="84"/>
      <c r="O1131" s="84"/>
      <c r="P1131" s="84"/>
      <c r="Q1131" s="84"/>
      <c r="R1131" s="84"/>
      <c r="S1131" s="84"/>
      <c r="T1131" s="84"/>
      <c r="U1131" s="84"/>
      <c r="V1131" s="84"/>
      <c r="W1131" s="84"/>
      <c r="Y1131" s="84"/>
      <c r="Z1131" s="84"/>
      <c r="AA1131" s="84"/>
      <c r="AB1131" s="84"/>
      <c r="AC1131" s="84"/>
      <c r="AD1131" s="84"/>
      <c r="AE1131" s="84"/>
      <c r="AF1131" s="84"/>
      <c r="AG1131" s="84"/>
      <c r="AH1131" s="84"/>
      <c r="AI1131" s="84"/>
      <c r="AL1131" s="84"/>
      <c r="AM1131" s="84"/>
      <c r="AN1131" s="84"/>
      <c r="AO1131" s="84"/>
      <c r="AP1131" s="84"/>
      <c r="AQ1131" s="84"/>
      <c r="AR1131" s="84"/>
      <c r="AS1131" s="84"/>
      <c r="AT1131" s="84"/>
      <c r="AU1131" s="84"/>
      <c r="AV1131" s="84"/>
      <c r="AY1131" s="84"/>
      <c r="AZ1131" s="84"/>
      <c r="BA1131" s="84"/>
      <c r="BB1131" s="84"/>
      <c r="BC1131" s="84"/>
      <c r="BD1131" s="84"/>
      <c r="BE1131" s="84"/>
      <c r="BF1131" s="942"/>
      <c r="BG1131" s="942"/>
      <c r="BH1131" s="942"/>
      <c r="BI1131" s="84"/>
      <c r="BL1131" s="84"/>
      <c r="BM1131" s="84"/>
      <c r="BN1131" s="84"/>
      <c r="BO1131" s="84"/>
      <c r="BP1131" s="84"/>
      <c r="BQ1131" s="84"/>
      <c r="BR1131" s="84"/>
      <c r="BS1131" s="942"/>
      <c r="BT1131" s="942"/>
      <c r="BU1131" s="942"/>
      <c r="BV1131" s="84"/>
    </row>
    <row r="1132" spans="14:74" ht="14.25">
      <c r="N1132" s="84"/>
      <c r="O1132" s="84"/>
      <c r="P1132" s="84"/>
      <c r="Q1132" s="84"/>
      <c r="R1132" s="84"/>
      <c r="S1132" s="84"/>
      <c r="T1132" s="84"/>
      <c r="U1132" s="84"/>
      <c r="V1132" s="84"/>
      <c r="W1132" s="84"/>
      <c r="Y1132" s="84"/>
      <c r="Z1132" s="84"/>
      <c r="AA1132" s="84"/>
      <c r="AB1132" s="84"/>
      <c r="AC1132" s="84"/>
      <c r="AD1132" s="84"/>
      <c r="AE1132" s="84"/>
      <c r="AF1132" s="84"/>
      <c r="AG1132" s="84"/>
      <c r="AH1132" s="84"/>
      <c r="AI1132" s="84"/>
      <c r="AL1132" s="84"/>
      <c r="AM1132" s="84"/>
      <c r="AN1132" s="84"/>
      <c r="AO1132" s="84"/>
      <c r="AP1132" s="84"/>
      <c r="AQ1132" s="84"/>
      <c r="AR1132" s="84"/>
      <c r="AS1132" s="84"/>
      <c r="AT1132" s="84"/>
      <c r="AU1132" s="84"/>
      <c r="AV1132" s="84"/>
      <c r="AY1132" s="84"/>
      <c r="AZ1132" s="84"/>
      <c r="BA1132" s="84"/>
      <c r="BB1132" s="84"/>
      <c r="BC1132" s="84"/>
      <c r="BD1132" s="84"/>
      <c r="BE1132" s="84"/>
      <c r="BF1132" s="942"/>
      <c r="BG1132" s="942"/>
      <c r="BH1132" s="942"/>
      <c r="BI1132" s="84"/>
      <c r="BL1132" s="84"/>
      <c r="BM1132" s="84"/>
      <c r="BN1132" s="84"/>
      <c r="BO1132" s="84"/>
      <c r="BP1132" s="84"/>
      <c r="BQ1132" s="84"/>
      <c r="BR1132" s="84"/>
      <c r="BS1132" s="942"/>
      <c r="BT1132" s="942"/>
      <c r="BU1132" s="942"/>
      <c r="BV1132" s="84"/>
    </row>
    <row r="1133" spans="14:74" ht="14.25">
      <c r="N1133" s="84"/>
      <c r="O1133" s="84"/>
      <c r="P1133" s="84"/>
      <c r="Q1133" s="84"/>
      <c r="R1133" s="84"/>
      <c r="S1133" s="84"/>
      <c r="T1133" s="84"/>
      <c r="U1133" s="84"/>
      <c r="V1133" s="84"/>
      <c r="W1133" s="84"/>
      <c r="Y1133" s="84"/>
      <c r="Z1133" s="84"/>
      <c r="AA1133" s="84"/>
      <c r="AB1133" s="84"/>
      <c r="AC1133" s="84"/>
      <c r="AD1133" s="84"/>
      <c r="AE1133" s="84"/>
      <c r="AF1133" s="84"/>
      <c r="AG1133" s="84"/>
      <c r="AH1133" s="84"/>
      <c r="AI1133" s="84"/>
      <c r="AL1133" s="84"/>
      <c r="AM1133" s="84"/>
      <c r="AN1133" s="84"/>
      <c r="AO1133" s="84"/>
      <c r="AP1133" s="84"/>
      <c r="AQ1133" s="84"/>
      <c r="AR1133" s="84"/>
      <c r="AS1133" s="84"/>
      <c r="AT1133" s="84"/>
      <c r="AU1133" s="84"/>
      <c r="AV1133" s="84"/>
      <c r="AY1133" s="84"/>
      <c r="AZ1133" s="84"/>
      <c r="BA1133" s="84"/>
      <c r="BB1133" s="84"/>
      <c r="BC1133" s="84"/>
      <c r="BD1133" s="84"/>
      <c r="BE1133" s="84"/>
      <c r="BF1133" s="942"/>
      <c r="BG1133" s="942"/>
      <c r="BH1133" s="942"/>
      <c r="BI1133" s="84"/>
      <c r="BL1133" s="84"/>
      <c r="BM1133" s="84"/>
      <c r="BN1133" s="84"/>
      <c r="BO1133" s="84"/>
      <c r="BP1133" s="84"/>
      <c r="BQ1133" s="84"/>
      <c r="BR1133" s="84"/>
      <c r="BS1133" s="942"/>
      <c r="BT1133" s="942"/>
      <c r="BU1133" s="942"/>
      <c r="BV1133" s="84"/>
    </row>
    <row r="1134" spans="14:74" ht="14.25">
      <c r="N1134" s="84"/>
      <c r="O1134" s="84"/>
      <c r="P1134" s="84"/>
      <c r="Q1134" s="84"/>
      <c r="R1134" s="84"/>
      <c r="S1134" s="84"/>
      <c r="T1134" s="84"/>
      <c r="U1134" s="84"/>
      <c r="V1134" s="84"/>
      <c r="W1134" s="84"/>
      <c r="Y1134" s="84"/>
      <c r="Z1134" s="84"/>
      <c r="AA1134" s="84"/>
      <c r="AB1134" s="84"/>
      <c r="AC1134" s="84"/>
      <c r="AD1134" s="84"/>
      <c r="AE1134" s="84"/>
      <c r="AF1134" s="84"/>
      <c r="AG1134" s="84"/>
      <c r="AH1134" s="84"/>
      <c r="AI1134" s="84"/>
      <c r="AL1134" s="84"/>
      <c r="AM1134" s="84"/>
      <c r="AN1134" s="84"/>
      <c r="AO1134" s="84"/>
      <c r="AP1134" s="84"/>
      <c r="AQ1134" s="84"/>
      <c r="AR1134" s="84"/>
      <c r="AS1134" s="84"/>
      <c r="AT1134" s="84"/>
      <c r="AU1134" s="84"/>
      <c r="AV1134" s="84"/>
      <c r="AY1134" s="84"/>
      <c r="AZ1134" s="84"/>
      <c r="BA1134" s="84"/>
      <c r="BB1134" s="84"/>
      <c r="BC1134" s="84"/>
      <c r="BD1134" s="84"/>
      <c r="BE1134" s="84"/>
      <c r="BF1134" s="942"/>
      <c r="BG1134" s="942"/>
      <c r="BH1134" s="942"/>
      <c r="BI1134" s="84"/>
      <c r="BL1134" s="84"/>
      <c r="BM1134" s="84"/>
      <c r="BN1134" s="84"/>
      <c r="BO1134" s="84"/>
      <c r="BP1134" s="84"/>
      <c r="BQ1134" s="84"/>
      <c r="BR1134" s="84"/>
      <c r="BS1134" s="942"/>
      <c r="BT1134" s="942"/>
      <c r="BU1134" s="942"/>
      <c r="BV1134" s="84"/>
    </row>
    <row r="1135" spans="14:74" ht="14.25">
      <c r="N1135" s="84"/>
      <c r="O1135" s="84"/>
      <c r="P1135" s="84"/>
      <c r="Q1135" s="84"/>
      <c r="R1135" s="84"/>
      <c r="S1135" s="84"/>
      <c r="T1135" s="84"/>
      <c r="U1135" s="84"/>
      <c r="V1135" s="84"/>
      <c r="W1135" s="84"/>
      <c r="Y1135" s="84"/>
      <c r="Z1135" s="84"/>
      <c r="AA1135" s="84"/>
      <c r="AB1135" s="84"/>
      <c r="AC1135" s="84"/>
      <c r="AD1135" s="84"/>
      <c r="AE1135" s="84"/>
      <c r="AF1135" s="84"/>
      <c r="AG1135" s="84"/>
      <c r="AH1135" s="84"/>
      <c r="AI1135" s="84"/>
      <c r="AL1135" s="84"/>
      <c r="AM1135" s="84"/>
      <c r="AN1135" s="84"/>
      <c r="AO1135" s="84"/>
      <c r="AP1135" s="84"/>
      <c r="AQ1135" s="84"/>
      <c r="AR1135" s="84"/>
      <c r="AS1135" s="84"/>
      <c r="AT1135" s="84"/>
      <c r="AU1135" s="84"/>
      <c r="AV1135" s="84"/>
      <c r="AY1135" s="84"/>
      <c r="AZ1135" s="84"/>
      <c r="BA1135" s="84"/>
      <c r="BB1135" s="84"/>
      <c r="BC1135" s="84"/>
      <c r="BD1135" s="84"/>
      <c r="BE1135" s="84"/>
      <c r="BF1135" s="942"/>
      <c r="BG1135" s="942"/>
      <c r="BH1135" s="942"/>
      <c r="BI1135" s="84"/>
      <c r="BL1135" s="84"/>
      <c r="BM1135" s="84"/>
      <c r="BN1135" s="84"/>
      <c r="BO1135" s="84"/>
      <c r="BP1135" s="84"/>
      <c r="BQ1135" s="84"/>
      <c r="BR1135" s="84"/>
      <c r="BS1135" s="942"/>
      <c r="BT1135" s="942"/>
      <c r="BU1135" s="942"/>
      <c r="BV1135" s="84"/>
    </row>
    <row r="1136" spans="14:74" ht="14.25">
      <c r="N1136" s="84"/>
      <c r="O1136" s="84"/>
      <c r="P1136" s="84"/>
      <c r="Q1136" s="84"/>
      <c r="R1136" s="84"/>
      <c r="S1136" s="84"/>
      <c r="T1136" s="84"/>
      <c r="U1136" s="84"/>
      <c r="V1136" s="84"/>
      <c r="W1136" s="84"/>
      <c r="Y1136" s="84"/>
      <c r="Z1136" s="84"/>
      <c r="AA1136" s="84"/>
      <c r="AB1136" s="84"/>
      <c r="AC1136" s="84"/>
      <c r="AD1136" s="84"/>
      <c r="AE1136" s="84"/>
      <c r="AF1136" s="84"/>
      <c r="AG1136" s="84"/>
      <c r="AH1136" s="84"/>
      <c r="AI1136" s="84"/>
      <c r="AL1136" s="84"/>
      <c r="AM1136" s="84"/>
      <c r="AN1136" s="84"/>
      <c r="AO1136" s="84"/>
      <c r="AP1136" s="84"/>
      <c r="AQ1136" s="84"/>
      <c r="AR1136" s="84"/>
      <c r="AS1136" s="84"/>
      <c r="AT1136" s="84"/>
      <c r="AU1136" s="84"/>
      <c r="AV1136" s="84"/>
      <c r="AY1136" s="84"/>
      <c r="AZ1136" s="84"/>
      <c r="BA1136" s="84"/>
      <c r="BB1136" s="84"/>
      <c r="BC1136" s="84"/>
      <c r="BD1136" s="84"/>
      <c r="BE1136" s="84"/>
      <c r="BF1136" s="942"/>
      <c r="BG1136" s="942"/>
      <c r="BH1136" s="942"/>
      <c r="BI1136" s="84"/>
      <c r="BL1136" s="84"/>
      <c r="BM1136" s="84"/>
      <c r="BN1136" s="84"/>
      <c r="BO1136" s="84"/>
      <c r="BP1136" s="84"/>
      <c r="BQ1136" s="84"/>
      <c r="BR1136" s="84"/>
      <c r="BS1136" s="942"/>
      <c r="BT1136" s="942"/>
      <c r="BU1136" s="942"/>
      <c r="BV1136" s="84"/>
    </row>
    <row r="1137" spans="14:74" ht="14.25">
      <c r="N1137" s="84"/>
      <c r="O1137" s="84"/>
      <c r="P1137" s="84"/>
      <c r="Q1137" s="84"/>
      <c r="R1137" s="84"/>
      <c r="S1137" s="84"/>
      <c r="T1137" s="84"/>
      <c r="U1137" s="84"/>
      <c r="V1137" s="84"/>
      <c r="W1137" s="84"/>
      <c r="Y1137" s="84"/>
      <c r="Z1137" s="84"/>
      <c r="AA1137" s="84"/>
      <c r="AB1137" s="84"/>
      <c r="AC1137" s="84"/>
      <c r="AD1137" s="84"/>
      <c r="AE1137" s="84"/>
      <c r="AF1137" s="84"/>
      <c r="AG1137" s="84"/>
      <c r="AH1137" s="84"/>
      <c r="AI1137" s="84"/>
      <c r="AL1137" s="84"/>
      <c r="AM1137" s="84"/>
      <c r="AN1137" s="84"/>
      <c r="AO1137" s="84"/>
      <c r="AP1137" s="84"/>
      <c r="AQ1137" s="84"/>
      <c r="AR1137" s="84"/>
      <c r="AS1137" s="84"/>
      <c r="AT1137" s="84"/>
      <c r="AU1137" s="84"/>
      <c r="AV1137" s="84"/>
      <c r="AY1137" s="84"/>
      <c r="AZ1137" s="84"/>
      <c r="BA1137" s="84"/>
      <c r="BB1137" s="84"/>
      <c r="BC1137" s="84"/>
      <c r="BD1137" s="84"/>
      <c r="BE1137" s="84"/>
      <c r="BF1137" s="942"/>
      <c r="BG1137" s="942"/>
      <c r="BH1137" s="942"/>
      <c r="BI1137" s="84"/>
      <c r="BL1137" s="84"/>
      <c r="BM1137" s="84"/>
      <c r="BN1137" s="84"/>
      <c r="BO1137" s="84"/>
      <c r="BP1137" s="84"/>
      <c r="BQ1137" s="84"/>
      <c r="BR1137" s="84"/>
      <c r="BS1137" s="942"/>
      <c r="BT1137" s="942"/>
      <c r="BU1137" s="942"/>
      <c r="BV1137" s="84"/>
    </row>
    <row r="1138" spans="14:74" ht="14.25">
      <c r="N1138" s="84"/>
      <c r="O1138" s="84"/>
      <c r="P1138" s="84"/>
      <c r="Q1138" s="84"/>
      <c r="R1138" s="84"/>
      <c r="S1138" s="84"/>
      <c r="T1138" s="84"/>
      <c r="U1138" s="84"/>
      <c r="V1138" s="84"/>
      <c r="W1138" s="84"/>
      <c r="Y1138" s="84"/>
      <c r="Z1138" s="84"/>
      <c r="AA1138" s="84"/>
      <c r="AB1138" s="84"/>
      <c r="AC1138" s="84"/>
      <c r="AD1138" s="84"/>
      <c r="AE1138" s="84"/>
      <c r="AF1138" s="84"/>
      <c r="AG1138" s="84"/>
      <c r="AH1138" s="84"/>
      <c r="AI1138" s="84"/>
      <c r="AL1138" s="84"/>
      <c r="AM1138" s="84"/>
      <c r="AN1138" s="84"/>
      <c r="AO1138" s="84"/>
      <c r="AP1138" s="84"/>
      <c r="AQ1138" s="84"/>
      <c r="AR1138" s="84"/>
      <c r="AS1138" s="84"/>
      <c r="AT1138" s="84"/>
      <c r="AU1138" s="84"/>
      <c r="AV1138" s="84"/>
      <c r="AY1138" s="84"/>
      <c r="AZ1138" s="84"/>
      <c r="BA1138" s="84"/>
      <c r="BB1138" s="84"/>
      <c r="BC1138" s="84"/>
      <c r="BD1138" s="84"/>
      <c r="BE1138" s="84"/>
      <c r="BF1138" s="942"/>
      <c r="BG1138" s="942"/>
      <c r="BH1138" s="942"/>
      <c r="BI1138" s="84"/>
      <c r="BL1138" s="84"/>
      <c r="BM1138" s="84"/>
      <c r="BN1138" s="84"/>
      <c r="BO1138" s="84"/>
      <c r="BP1138" s="84"/>
      <c r="BQ1138" s="84"/>
      <c r="BR1138" s="84"/>
      <c r="BS1138" s="942"/>
      <c r="BT1138" s="942"/>
      <c r="BU1138" s="942"/>
      <c r="BV1138" s="84"/>
    </row>
    <row r="1139" spans="14:74" ht="14.25">
      <c r="N1139" s="84"/>
      <c r="O1139" s="84"/>
      <c r="P1139" s="84"/>
      <c r="Q1139" s="84"/>
      <c r="R1139" s="84"/>
      <c r="S1139" s="84"/>
      <c r="T1139" s="84"/>
      <c r="U1139" s="84"/>
      <c r="V1139" s="84"/>
      <c r="W1139" s="84"/>
      <c r="Y1139" s="84"/>
      <c r="Z1139" s="84"/>
      <c r="AA1139" s="84"/>
      <c r="AB1139" s="84"/>
      <c r="AC1139" s="84"/>
      <c r="AD1139" s="84"/>
      <c r="AE1139" s="84"/>
      <c r="AF1139" s="84"/>
      <c r="AG1139" s="84"/>
      <c r="AH1139" s="84"/>
      <c r="AI1139" s="84"/>
      <c r="AL1139" s="84"/>
      <c r="AM1139" s="84"/>
      <c r="AN1139" s="84"/>
      <c r="AO1139" s="84"/>
      <c r="AP1139" s="84"/>
      <c r="AQ1139" s="84"/>
      <c r="AR1139" s="84"/>
      <c r="AS1139" s="84"/>
      <c r="AT1139" s="84"/>
      <c r="AU1139" s="84"/>
      <c r="AV1139" s="84"/>
      <c r="AY1139" s="84"/>
      <c r="AZ1139" s="84"/>
      <c r="BA1139" s="84"/>
      <c r="BB1139" s="84"/>
      <c r="BC1139" s="84"/>
      <c r="BD1139" s="84"/>
      <c r="BE1139" s="84"/>
      <c r="BF1139" s="942"/>
      <c r="BG1139" s="942"/>
      <c r="BH1139" s="942"/>
      <c r="BI1139" s="84"/>
      <c r="BL1139" s="84"/>
      <c r="BM1139" s="84"/>
      <c r="BN1139" s="84"/>
      <c r="BO1139" s="84"/>
      <c r="BP1139" s="84"/>
      <c r="BQ1139" s="84"/>
      <c r="BR1139" s="84"/>
      <c r="BS1139" s="942"/>
      <c r="BT1139" s="942"/>
      <c r="BU1139" s="942"/>
      <c r="BV1139" s="84"/>
    </row>
    <row r="1140" spans="14:74" ht="14.25">
      <c r="N1140" s="84"/>
      <c r="O1140" s="84"/>
      <c r="P1140" s="84"/>
      <c r="Q1140" s="84"/>
      <c r="R1140" s="84"/>
      <c r="S1140" s="84"/>
      <c r="T1140" s="84"/>
      <c r="U1140" s="84"/>
      <c r="V1140" s="84"/>
      <c r="W1140" s="84"/>
      <c r="Y1140" s="84"/>
      <c r="Z1140" s="84"/>
      <c r="AA1140" s="84"/>
      <c r="AB1140" s="84"/>
      <c r="AC1140" s="84"/>
      <c r="AD1140" s="84"/>
      <c r="AE1140" s="84"/>
      <c r="AF1140" s="84"/>
      <c r="AG1140" s="84"/>
      <c r="AH1140" s="84"/>
      <c r="AI1140" s="84"/>
      <c r="AL1140" s="84"/>
      <c r="AM1140" s="84"/>
      <c r="AN1140" s="84"/>
      <c r="AO1140" s="84"/>
      <c r="AP1140" s="84"/>
      <c r="AQ1140" s="84"/>
      <c r="AR1140" s="84"/>
      <c r="AS1140" s="84"/>
      <c r="AT1140" s="84"/>
      <c r="AU1140" s="84"/>
      <c r="AV1140" s="84"/>
      <c r="AY1140" s="84"/>
      <c r="AZ1140" s="84"/>
      <c r="BA1140" s="84"/>
      <c r="BB1140" s="84"/>
      <c r="BC1140" s="84"/>
      <c r="BD1140" s="84"/>
      <c r="BE1140" s="84"/>
      <c r="BF1140" s="942"/>
      <c r="BG1140" s="942"/>
      <c r="BH1140" s="942"/>
      <c r="BI1140" s="84"/>
      <c r="BL1140" s="84"/>
      <c r="BM1140" s="84"/>
      <c r="BN1140" s="84"/>
      <c r="BO1140" s="84"/>
      <c r="BP1140" s="84"/>
      <c r="BQ1140" s="84"/>
      <c r="BR1140" s="84"/>
      <c r="BS1140" s="942"/>
      <c r="BT1140" s="942"/>
      <c r="BU1140" s="942"/>
      <c r="BV1140" s="84"/>
    </row>
    <row r="1141" spans="14:74" ht="14.25">
      <c r="N1141" s="84"/>
      <c r="O1141" s="84"/>
      <c r="P1141" s="84"/>
      <c r="Q1141" s="84"/>
      <c r="R1141" s="84"/>
      <c r="S1141" s="84"/>
      <c r="T1141" s="84"/>
      <c r="U1141" s="84"/>
      <c r="V1141" s="84"/>
      <c r="W1141" s="84"/>
      <c r="Y1141" s="84"/>
      <c r="Z1141" s="84"/>
      <c r="AA1141" s="84"/>
      <c r="AB1141" s="84"/>
      <c r="AC1141" s="84"/>
      <c r="AD1141" s="84"/>
      <c r="AE1141" s="84"/>
      <c r="AF1141" s="84"/>
      <c r="AG1141" s="84"/>
      <c r="AH1141" s="84"/>
      <c r="AI1141" s="84"/>
      <c r="AL1141" s="84"/>
      <c r="AM1141" s="84"/>
      <c r="AN1141" s="84"/>
      <c r="AO1141" s="84"/>
      <c r="AP1141" s="84"/>
      <c r="AQ1141" s="84"/>
      <c r="AR1141" s="84"/>
      <c r="AS1141" s="84"/>
      <c r="AT1141" s="84"/>
      <c r="AU1141" s="84"/>
      <c r="AV1141" s="84"/>
      <c r="AY1141" s="84"/>
      <c r="AZ1141" s="84"/>
      <c r="BA1141" s="84"/>
      <c r="BB1141" s="84"/>
      <c r="BC1141" s="84"/>
      <c r="BD1141" s="84"/>
      <c r="BE1141" s="84"/>
      <c r="BF1141" s="942"/>
      <c r="BG1141" s="942"/>
      <c r="BH1141" s="942"/>
      <c r="BI1141" s="84"/>
      <c r="BL1141" s="84"/>
      <c r="BM1141" s="84"/>
      <c r="BN1141" s="84"/>
      <c r="BO1141" s="84"/>
      <c r="BP1141" s="84"/>
      <c r="BQ1141" s="84"/>
      <c r="BR1141" s="84"/>
      <c r="BS1141" s="942"/>
      <c r="BT1141" s="942"/>
      <c r="BU1141" s="942"/>
      <c r="BV1141" s="84"/>
    </row>
    <row r="1142" spans="14:74" ht="14.25">
      <c r="N1142" s="84"/>
      <c r="O1142" s="84"/>
      <c r="P1142" s="84"/>
      <c r="Q1142" s="84"/>
      <c r="R1142" s="84"/>
      <c r="S1142" s="84"/>
      <c r="T1142" s="84"/>
      <c r="U1142" s="84"/>
      <c r="V1142" s="84"/>
      <c r="W1142" s="84"/>
      <c r="Y1142" s="84"/>
      <c r="Z1142" s="84"/>
      <c r="AA1142" s="84"/>
      <c r="AB1142" s="84"/>
      <c r="AC1142" s="84"/>
      <c r="AD1142" s="84"/>
      <c r="AE1142" s="84"/>
      <c r="AF1142" s="84"/>
      <c r="AG1142" s="84"/>
      <c r="AH1142" s="84"/>
      <c r="AI1142" s="84"/>
      <c r="AL1142" s="84"/>
      <c r="AM1142" s="84"/>
      <c r="AN1142" s="84"/>
      <c r="AO1142" s="84"/>
      <c r="AP1142" s="84"/>
      <c r="AQ1142" s="84"/>
      <c r="AR1142" s="84"/>
      <c r="AS1142" s="84"/>
      <c r="AT1142" s="84"/>
      <c r="AU1142" s="84"/>
      <c r="AV1142" s="84"/>
      <c r="AY1142" s="84"/>
      <c r="AZ1142" s="84"/>
      <c r="BA1142" s="84"/>
      <c r="BB1142" s="84"/>
      <c r="BC1142" s="84"/>
      <c r="BD1142" s="84"/>
      <c r="BE1142" s="84"/>
      <c r="BF1142" s="942"/>
      <c r="BG1142" s="942"/>
      <c r="BH1142" s="942"/>
      <c r="BI1142" s="84"/>
      <c r="BL1142" s="84"/>
      <c r="BM1142" s="84"/>
      <c r="BN1142" s="84"/>
      <c r="BO1142" s="84"/>
      <c r="BP1142" s="84"/>
      <c r="BQ1142" s="84"/>
      <c r="BR1142" s="84"/>
      <c r="BS1142" s="942"/>
      <c r="BT1142" s="942"/>
      <c r="BU1142" s="942"/>
      <c r="BV1142" s="84"/>
    </row>
    <row r="1143" spans="14:74" ht="14.25">
      <c r="N1143" s="84"/>
      <c r="O1143" s="84"/>
      <c r="P1143" s="84"/>
      <c r="Q1143" s="84"/>
      <c r="R1143" s="84"/>
      <c r="S1143" s="84"/>
      <c r="T1143" s="84"/>
      <c r="U1143" s="84"/>
      <c r="V1143" s="84"/>
      <c r="W1143" s="84"/>
      <c r="Y1143" s="84"/>
      <c r="Z1143" s="84"/>
      <c r="AA1143" s="84"/>
      <c r="AB1143" s="84"/>
      <c r="AC1143" s="84"/>
      <c r="AD1143" s="84"/>
      <c r="AE1143" s="84"/>
      <c r="AF1143" s="84"/>
      <c r="AG1143" s="84"/>
      <c r="AH1143" s="84"/>
      <c r="AI1143" s="84"/>
      <c r="AL1143" s="84"/>
      <c r="AM1143" s="84"/>
      <c r="AN1143" s="84"/>
      <c r="AO1143" s="84"/>
      <c r="AP1143" s="84"/>
      <c r="AQ1143" s="84"/>
      <c r="AR1143" s="84"/>
      <c r="AS1143" s="84"/>
      <c r="AT1143" s="84"/>
      <c r="AU1143" s="84"/>
      <c r="AV1143" s="84"/>
      <c r="AY1143" s="84"/>
      <c r="AZ1143" s="84"/>
      <c r="BA1143" s="84"/>
      <c r="BB1143" s="84"/>
      <c r="BC1143" s="84"/>
      <c r="BD1143" s="84"/>
      <c r="BE1143" s="84"/>
      <c r="BF1143" s="942"/>
      <c r="BG1143" s="942"/>
      <c r="BH1143" s="942"/>
      <c r="BI1143" s="84"/>
      <c r="BL1143" s="84"/>
      <c r="BM1143" s="84"/>
      <c r="BN1143" s="84"/>
      <c r="BO1143" s="84"/>
      <c r="BP1143" s="84"/>
      <c r="BQ1143" s="84"/>
      <c r="BR1143" s="84"/>
      <c r="BS1143" s="942"/>
      <c r="BT1143" s="942"/>
      <c r="BU1143" s="942"/>
      <c r="BV1143" s="84"/>
    </row>
    <row r="1144" spans="14:74" ht="14.25">
      <c r="N1144" s="84"/>
      <c r="O1144" s="84"/>
      <c r="P1144" s="84"/>
      <c r="Q1144" s="84"/>
      <c r="R1144" s="84"/>
      <c r="S1144" s="84"/>
      <c r="T1144" s="84"/>
      <c r="U1144" s="84"/>
      <c r="V1144" s="84"/>
      <c r="W1144" s="84"/>
      <c r="Y1144" s="84"/>
      <c r="Z1144" s="84"/>
      <c r="AA1144" s="84"/>
      <c r="AB1144" s="84"/>
      <c r="AC1144" s="84"/>
      <c r="AD1144" s="84"/>
      <c r="AE1144" s="84"/>
      <c r="AF1144" s="84"/>
      <c r="AG1144" s="84"/>
      <c r="AH1144" s="84"/>
      <c r="AI1144" s="84"/>
      <c r="AL1144" s="84"/>
      <c r="AM1144" s="84"/>
      <c r="AN1144" s="84"/>
      <c r="AO1144" s="84"/>
      <c r="AP1144" s="84"/>
      <c r="AQ1144" s="84"/>
      <c r="AR1144" s="84"/>
      <c r="AS1144" s="84"/>
      <c r="AT1144" s="84"/>
      <c r="AU1144" s="84"/>
      <c r="AV1144" s="84"/>
      <c r="AY1144" s="84"/>
      <c r="AZ1144" s="84"/>
      <c r="BA1144" s="84"/>
      <c r="BB1144" s="84"/>
      <c r="BC1144" s="84"/>
      <c r="BD1144" s="84"/>
      <c r="BE1144" s="84"/>
      <c r="BF1144" s="942"/>
      <c r="BG1144" s="942"/>
      <c r="BH1144" s="942"/>
      <c r="BI1144" s="84"/>
      <c r="BL1144" s="84"/>
      <c r="BM1144" s="84"/>
      <c r="BN1144" s="84"/>
      <c r="BO1144" s="84"/>
      <c r="BP1144" s="84"/>
      <c r="BQ1144" s="84"/>
      <c r="BR1144" s="84"/>
      <c r="BS1144" s="942"/>
      <c r="BT1144" s="942"/>
      <c r="BU1144" s="942"/>
      <c r="BV1144" s="84"/>
    </row>
    <row r="1145" spans="14:74" ht="14.25">
      <c r="N1145" s="84"/>
      <c r="O1145" s="84"/>
      <c r="P1145" s="84"/>
      <c r="Q1145" s="84"/>
      <c r="R1145" s="84"/>
      <c r="S1145" s="84"/>
      <c r="T1145" s="84"/>
      <c r="U1145" s="84"/>
      <c r="V1145" s="84"/>
      <c r="W1145" s="84"/>
      <c r="Y1145" s="84"/>
      <c r="Z1145" s="84"/>
      <c r="AA1145" s="84"/>
      <c r="AB1145" s="84"/>
      <c r="AC1145" s="84"/>
      <c r="AD1145" s="84"/>
      <c r="AE1145" s="84"/>
      <c r="AF1145" s="84"/>
      <c r="AG1145" s="84"/>
      <c r="AH1145" s="84"/>
      <c r="AI1145" s="84"/>
      <c r="AL1145" s="84"/>
      <c r="AM1145" s="84"/>
      <c r="AN1145" s="84"/>
      <c r="AO1145" s="84"/>
      <c r="AP1145" s="84"/>
      <c r="AQ1145" s="84"/>
      <c r="AR1145" s="84"/>
      <c r="AS1145" s="84"/>
      <c r="AT1145" s="84"/>
      <c r="AU1145" s="84"/>
      <c r="AV1145" s="84"/>
      <c r="AY1145" s="84"/>
      <c r="AZ1145" s="84"/>
      <c r="BA1145" s="84"/>
      <c r="BB1145" s="84"/>
      <c r="BC1145" s="84"/>
      <c r="BD1145" s="84"/>
      <c r="BE1145" s="84"/>
      <c r="BF1145" s="942"/>
      <c r="BG1145" s="942"/>
      <c r="BH1145" s="942"/>
      <c r="BI1145" s="84"/>
      <c r="BL1145" s="84"/>
      <c r="BM1145" s="84"/>
      <c r="BN1145" s="84"/>
      <c r="BO1145" s="84"/>
      <c r="BP1145" s="84"/>
      <c r="BQ1145" s="84"/>
      <c r="BR1145" s="84"/>
      <c r="BS1145" s="942"/>
      <c r="BT1145" s="942"/>
      <c r="BU1145" s="942"/>
      <c r="BV1145" s="84"/>
    </row>
    <row r="1146" spans="14:74" ht="14.25">
      <c r="N1146" s="84"/>
      <c r="O1146" s="84"/>
      <c r="P1146" s="84"/>
      <c r="Q1146" s="84"/>
      <c r="R1146" s="84"/>
      <c r="S1146" s="84"/>
      <c r="T1146" s="84"/>
      <c r="U1146" s="84"/>
      <c r="V1146" s="84"/>
      <c r="W1146" s="84"/>
      <c r="Y1146" s="84"/>
      <c r="Z1146" s="84"/>
      <c r="AA1146" s="84"/>
      <c r="AB1146" s="84"/>
      <c r="AC1146" s="84"/>
      <c r="AD1146" s="84"/>
      <c r="AE1146" s="84"/>
      <c r="AF1146" s="84"/>
      <c r="AG1146" s="84"/>
      <c r="AH1146" s="84"/>
      <c r="AI1146" s="84"/>
      <c r="AL1146" s="84"/>
      <c r="AM1146" s="84"/>
      <c r="AN1146" s="84"/>
      <c r="AO1146" s="84"/>
      <c r="AP1146" s="84"/>
      <c r="AQ1146" s="84"/>
      <c r="AR1146" s="84"/>
      <c r="AS1146" s="84"/>
      <c r="AT1146" s="84"/>
      <c r="AU1146" s="84"/>
      <c r="AV1146" s="84"/>
      <c r="AY1146" s="84"/>
      <c r="AZ1146" s="84"/>
      <c r="BA1146" s="84"/>
      <c r="BB1146" s="84"/>
      <c r="BC1146" s="84"/>
      <c r="BD1146" s="84"/>
      <c r="BE1146" s="84"/>
      <c r="BF1146" s="942"/>
      <c r="BG1146" s="942"/>
      <c r="BH1146" s="942"/>
      <c r="BI1146" s="84"/>
      <c r="BL1146" s="84"/>
      <c r="BM1146" s="84"/>
      <c r="BN1146" s="84"/>
      <c r="BO1146" s="84"/>
      <c r="BP1146" s="84"/>
      <c r="BQ1146" s="84"/>
      <c r="BR1146" s="84"/>
      <c r="BS1146" s="942"/>
      <c r="BT1146" s="942"/>
      <c r="BU1146" s="942"/>
      <c r="BV1146" s="84"/>
    </row>
    <row r="1147" spans="14:74" ht="14.25">
      <c r="N1147" s="84"/>
      <c r="O1147" s="84"/>
      <c r="P1147" s="84"/>
      <c r="Q1147" s="84"/>
      <c r="R1147" s="84"/>
      <c r="S1147" s="84"/>
      <c r="T1147" s="84"/>
      <c r="U1147" s="84"/>
      <c r="V1147" s="84"/>
      <c r="W1147" s="84"/>
      <c r="Y1147" s="84"/>
      <c r="Z1147" s="84"/>
      <c r="AA1147" s="84"/>
      <c r="AB1147" s="84"/>
      <c r="AC1147" s="84"/>
      <c r="AD1147" s="84"/>
      <c r="AE1147" s="84"/>
      <c r="AF1147" s="84"/>
      <c r="AG1147" s="84"/>
      <c r="AH1147" s="84"/>
      <c r="AI1147" s="84"/>
      <c r="AL1147" s="84"/>
      <c r="AM1147" s="84"/>
      <c r="AN1147" s="84"/>
      <c r="AO1147" s="84"/>
      <c r="AP1147" s="84"/>
      <c r="AQ1147" s="84"/>
      <c r="AR1147" s="84"/>
      <c r="AS1147" s="84"/>
      <c r="AT1147" s="84"/>
      <c r="AU1147" s="84"/>
      <c r="AV1147" s="84"/>
      <c r="AY1147" s="84"/>
      <c r="AZ1147" s="84"/>
      <c r="BA1147" s="84"/>
      <c r="BB1147" s="84"/>
      <c r="BC1147" s="84"/>
      <c r="BD1147" s="84"/>
      <c r="BE1147" s="84"/>
      <c r="BF1147" s="942"/>
      <c r="BG1147" s="942"/>
      <c r="BH1147" s="942"/>
      <c r="BI1147" s="84"/>
      <c r="BL1147" s="84"/>
      <c r="BM1147" s="84"/>
      <c r="BN1147" s="84"/>
      <c r="BO1147" s="84"/>
      <c r="BP1147" s="84"/>
      <c r="BQ1147" s="84"/>
      <c r="BR1147" s="84"/>
      <c r="BS1147" s="942"/>
      <c r="BT1147" s="942"/>
      <c r="BU1147" s="942"/>
      <c r="BV1147" s="84"/>
    </row>
    <row r="1148" spans="14:74" ht="14.25">
      <c r="N1148" s="84"/>
      <c r="O1148" s="84"/>
      <c r="P1148" s="84"/>
      <c r="Q1148" s="84"/>
      <c r="R1148" s="84"/>
      <c r="S1148" s="84"/>
      <c r="T1148" s="84"/>
      <c r="U1148" s="84"/>
      <c r="V1148" s="84"/>
      <c r="W1148" s="84"/>
      <c r="Y1148" s="84"/>
      <c r="Z1148" s="84"/>
      <c r="AA1148" s="84"/>
      <c r="AB1148" s="84"/>
      <c r="AC1148" s="84"/>
      <c r="AD1148" s="84"/>
      <c r="AE1148" s="84"/>
      <c r="AF1148" s="84"/>
      <c r="AG1148" s="84"/>
      <c r="AH1148" s="84"/>
      <c r="AI1148" s="84"/>
      <c r="AL1148" s="84"/>
      <c r="AM1148" s="84"/>
      <c r="AN1148" s="84"/>
      <c r="AO1148" s="84"/>
      <c r="AP1148" s="84"/>
      <c r="AQ1148" s="84"/>
      <c r="AR1148" s="84"/>
      <c r="AS1148" s="84"/>
      <c r="AT1148" s="84"/>
      <c r="AU1148" s="84"/>
      <c r="AV1148" s="84"/>
      <c r="AY1148" s="84"/>
      <c r="AZ1148" s="84"/>
      <c r="BA1148" s="84"/>
      <c r="BB1148" s="84"/>
      <c r="BC1148" s="84"/>
      <c r="BD1148" s="84"/>
      <c r="BE1148" s="84"/>
      <c r="BF1148" s="942"/>
      <c r="BG1148" s="942"/>
      <c r="BH1148" s="942"/>
      <c r="BI1148" s="84"/>
      <c r="BL1148" s="84"/>
      <c r="BM1148" s="84"/>
      <c r="BN1148" s="84"/>
      <c r="BO1148" s="84"/>
      <c r="BP1148" s="84"/>
      <c r="BQ1148" s="84"/>
      <c r="BR1148" s="84"/>
      <c r="BS1148" s="942"/>
      <c r="BT1148" s="942"/>
      <c r="BU1148" s="942"/>
      <c r="BV1148" s="84"/>
    </row>
    <row r="1149" spans="14:74" ht="14.25">
      <c r="N1149" s="84"/>
      <c r="O1149" s="84"/>
      <c r="P1149" s="84"/>
      <c r="Q1149" s="84"/>
      <c r="R1149" s="84"/>
      <c r="S1149" s="84"/>
      <c r="T1149" s="84"/>
      <c r="U1149" s="84"/>
      <c r="V1149" s="84"/>
      <c r="W1149" s="84"/>
      <c r="Y1149" s="84"/>
      <c r="Z1149" s="84"/>
      <c r="AA1149" s="84"/>
      <c r="AB1149" s="84"/>
      <c r="AC1149" s="84"/>
      <c r="AD1149" s="84"/>
      <c r="AE1149" s="84"/>
      <c r="AF1149" s="84"/>
      <c r="AG1149" s="84"/>
      <c r="AH1149" s="84"/>
      <c r="AI1149" s="84"/>
      <c r="AL1149" s="84"/>
      <c r="AM1149" s="84"/>
      <c r="AN1149" s="84"/>
      <c r="AO1149" s="84"/>
      <c r="AP1149" s="84"/>
      <c r="AQ1149" s="84"/>
      <c r="AR1149" s="84"/>
      <c r="AS1149" s="84"/>
      <c r="AT1149" s="84"/>
      <c r="AU1149" s="84"/>
      <c r="AV1149" s="84"/>
      <c r="AY1149" s="84"/>
      <c r="AZ1149" s="84"/>
      <c r="BA1149" s="84"/>
      <c r="BB1149" s="84"/>
      <c r="BC1149" s="84"/>
      <c r="BD1149" s="84"/>
      <c r="BE1149" s="84"/>
      <c r="BF1149" s="942"/>
      <c r="BG1149" s="942"/>
      <c r="BH1149" s="942"/>
      <c r="BI1149" s="84"/>
      <c r="BL1149" s="84"/>
      <c r="BM1149" s="84"/>
      <c r="BN1149" s="84"/>
      <c r="BO1149" s="84"/>
      <c r="BP1149" s="84"/>
      <c r="BQ1149" s="84"/>
      <c r="BR1149" s="84"/>
      <c r="BS1149" s="942"/>
      <c r="BT1149" s="942"/>
      <c r="BU1149" s="942"/>
      <c r="BV1149" s="84"/>
    </row>
    <row r="1150" spans="14:74" ht="14.25">
      <c r="N1150" s="84"/>
      <c r="O1150" s="84"/>
      <c r="P1150" s="84"/>
      <c r="Q1150" s="84"/>
      <c r="R1150" s="84"/>
      <c r="S1150" s="84"/>
      <c r="T1150" s="84"/>
      <c r="U1150" s="84"/>
      <c r="V1150" s="84"/>
      <c r="W1150" s="84"/>
      <c r="Y1150" s="84"/>
      <c r="Z1150" s="84"/>
      <c r="AA1150" s="84"/>
      <c r="AB1150" s="84"/>
      <c r="AC1150" s="84"/>
      <c r="AD1150" s="84"/>
      <c r="AE1150" s="84"/>
      <c r="AF1150" s="84"/>
      <c r="AG1150" s="84"/>
      <c r="AH1150" s="84"/>
      <c r="AI1150" s="84"/>
      <c r="AL1150" s="84"/>
      <c r="AM1150" s="84"/>
      <c r="AN1150" s="84"/>
      <c r="AO1150" s="84"/>
      <c r="AP1150" s="84"/>
      <c r="AQ1150" s="84"/>
      <c r="AR1150" s="84"/>
      <c r="AS1150" s="84"/>
      <c r="AT1150" s="84"/>
      <c r="AU1150" s="84"/>
      <c r="AV1150" s="84"/>
      <c r="AY1150" s="84"/>
      <c r="AZ1150" s="84"/>
      <c r="BA1150" s="84"/>
      <c r="BB1150" s="84"/>
      <c r="BC1150" s="84"/>
      <c r="BD1150" s="84"/>
      <c r="BE1150" s="84"/>
      <c r="BF1150" s="942"/>
      <c r="BG1150" s="942"/>
      <c r="BH1150" s="942"/>
      <c r="BI1150" s="84"/>
      <c r="BL1150" s="84"/>
      <c r="BM1150" s="84"/>
      <c r="BN1150" s="84"/>
      <c r="BO1150" s="84"/>
      <c r="BP1150" s="84"/>
      <c r="BQ1150" s="84"/>
      <c r="BR1150" s="84"/>
      <c r="BS1150" s="942"/>
      <c r="BT1150" s="942"/>
      <c r="BU1150" s="942"/>
      <c r="BV1150" s="84"/>
    </row>
    <row r="1151" spans="14:74" ht="14.25">
      <c r="N1151" s="84"/>
      <c r="O1151" s="84"/>
      <c r="P1151" s="84"/>
      <c r="Q1151" s="84"/>
      <c r="R1151" s="84"/>
      <c r="S1151" s="84"/>
      <c r="T1151" s="84"/>
      <c r="U1151" s="84"/>
      <c r="V1151" s="84"/>
      <c r="W1151" s="84"/>
      <c r="Y1151" s="84"/>
      <c r="Z1151" s="84"/>
      <c r="AA1151" s="84"/>
      <c r="AB1151" s="84"/>
      <c r="AC1151" s="84"/>
      <c r="AD1151" s="84"/>
      <c r="AE1151" s="84"/>
      <c r="AF1151" s="84"/>
      <c r="AG1151" s="84"/>
      <c r="AH1151" s="84"/>
      <c r="AI1151" s="84"/>
      <c r="AL1151" s="84"/>
      <c r="AM1151" s="84"/>
      <c r="AN1151" s="84"/>
      <c r="AO1151" s="84"/>
      <c r="AP1151" s="84"/>
      <c r="AQ1151" s="84"/>
      <c r="AR1151" s="84"/>
      <c r="AS1151" s="84"/>
      <c r="AT1151" s="84"/>
      <c r="AU1151" s="84"/>
      <c r="AV1151" s="84"/>
      <c r="AY1151" s="84"/>
      <c r="AZ1151" s="84"/>
      <c r="BA1151" s="84"/>
      <c r="BB1151" s="84"/>
      <c r="BC1151" s="84"/>
      <c r="BD1151" s="84"/>
      <c r="BE1151" s="84"/>
      <c r="BF1151" s="942"/>
      <c r="BG1151" s="942"/>
      <c r="BH1151" s="942"/>
      <c r="BI1151" s="84"/>
      <c r="BL1151" s="84"/>
      <c r="BM1151" s="84"/>
      <c r="BN1151" s="84"/>
      <c r="BO1151" s="84"/>
      <c r="BP1151" s="84"/>
      <c r="BQ1151" s="84"/>
      <c r="BR1151" s="84"/>
      <c r="BS1151" s="942"/>
      <c r="BT1151" s="942"/>
      <c r="BU1151" s="942"/>
      <c r="BV1151" s="84"/>
    </row>
    <row r="1152" spans="14:74" ht="14.25">
      <c r="N1152" s="84"/>
      <c r="O1152" s="84"/>
      <c r="P1152" s="84"/>
      <c r="Q1152" s="84"/>
      <c r="R1152" s="84"/>
      <c r="S1152" s="84"/>
      <c r="T1152" s="84"/>
      <c r="U1152" s="84"/>
      <c r="V1152" s="84"/>
      <c r="W1152" s="84"/>
      <c r="Y1152" s="84"/>
      <c r="Z1152" s="84"/>
      <c r="AA1152" s="84"/>
      <c r="AB1152" s="84"/>
      <c r="AC1152" s="84"/>
      <c r="AD1152" s="84"/>
      <c r="AE1152" s="84"/>
      <c r="AF1152" s="84"/>
      <c r="AG1152" s="84"/>
      <c r="AH1152" s="84"/>
      <c r="AI1152" s="84"/>
      <c r="AL1152" s="84"/>
      <c r="AM1152" s="84"/>
      <c r="AN1152" s="84"/>
      <c r="AO1152" s="84"/>
      <c r="AP1152" s="84"/>
      <c r="AQ1152" s="84"/>
      <c r="AR1152" s="84"/>
      <c r="AS1152" s="84"/>
      <c r="AT1152" s="84"/>
      <c r="AU1152" s="84"/>
      <c r="AV1152" s="84"/>
      <c r="AY1152" s="84"/>
      <c r="AZ1152" s="84"/>
      <c r="BA1152" s="84"/>
      <c r="BB1152" s="84"/>
      <c r="BC1152" s="84"/>
      <c r="BD1152" s="84"/>
      <c r="BE1152" s="84"/>
      <c r="BF1152" s="942"/>
      <c r="BG1152" s="942"/>
      <c r="BH1152" s="942"/>
      <c r="BI1152" s="84"/>
      <c r="BL1152" s="84"/>
      <c r="BM1152" s="84"/>
      <c r="BN1152" s="84"/>
      <c r="BO1152" s="84"/>
      <c r="BP1152" s="84"/>
      <c r="BQ1152" s="84"/>
      <c r="BR1152" s="84"/>
      <c r="BS1152" s="942"/>
      <c r="BT1152" s="942"/>
      <c r="BU1152" s="942"/>
      <c r="BV1152" s="84"/>
    </row>
    <row r="1153" spans="14:74" ht="14.25">
      <c r="N1153" s="84"/>
      <c r="O1153" s="84"/>
      <c r="P1153" s="84"/>
      <c r="Q1153" s="84"/>
      <c r="R1153" s="84"/>
      <c r="S1153" s="84"/>
      <c r="T1153" s="84"/>
      <c r="U1153" s="84"/>
      <c r="V1153" s="84"/>
      <c r="W1153" s="84"/>
      <c r="Y1153" s="84"/>
      <c r="Z1153" s="84"/>
      <c r="AA1153" s="84"/>
      <c r="AB1153" s="84"/>
      <c r="AC1153" s="84"/>
      <c r="AD1153" s="84"/>
      <c r="AE1153" s="84"/>
      <c r="AF1153" s="84"/>
      <c r="AG1153" s="84"/>
      <c r="AH1153" s="84"/>
      <c r="AI1153" s="84"/>
      <c r="AL1153" s="84"/>
      <c r="AM1153" s="84"/>
      <c r="AN1153" s="84"/>
      <c r="AO1153" s="84"/>
      <c r="AP1153" s="84"/>
      <c r="AQ1153" s="84"/>
      <c r="AR1153" s="84"/>
      <c r="AS1153" s="84"/>
      <c r="AT1153" s="84"/>
      <c r="AU1153" s="84"/>
      <c r="AV1153" s="84"/>
      <c r="AY1153" s="84"/>
      <c r="AZ1153" s="84"/>
      <c r="BA1153" s="84"/>
      <c r="BB1153" s="84"/>
      <c r="BC1153" s="84"/>
      <c r="BD1153" s="84"/>
      <c r="BE1153" s="84"/>
      <c r="BF1153" s="942"/>
      <c r="BG1153" s="942"/>
      <c r="BH1153" s="942"/>
      <c r="BI1153" s="84"/>
      <c r="BL1153" s="84"/>
      <c r="BM1153" s="84"/>
      <c r="BN1153" s="84"/>
      <c r="BO1153" s="84"/>
      <c r="BP1153" s="84"/>
      <c r="BQ1153" s="84"/>
      <c r="BR1153" s="84"/>
      <c r="BS1153" s="942"/>
      <c r="BT1153" s="942"/>
      <c r="BU1153" s="942"/>
      <c r="BV1153" s="84"/>
    </row>
    <row r="1154" spans="14:74" ht="14.25">
      <c r="N1154" s="84"/>
      <c r="O1154" s="84"/>
      <c r="P1154" s="84"/>
      <c r="Q1154" s="84"/>
      <c r="R1154" s="84"/>
      <c r="S1154" s="84"/>
      <c r="T1154" s="84"/>
      <c r="U1154" s="84"/>
      <c r="V1154" s="84"/>
      <c r="W1154" s="84"/>
      <c r="Y1154" s="84"/>
      <c r="Z1154" s="84"/>
      <c r="AA1154" s="84"/>
      <c r="AB1154" s="84"/>
      <c r="AC1154" s="84"/>
      <c r="AD1154" s="84"/>
      <c r="AE1154" s="84"/>
      <c r="AF1154" s="84"/>
      <c r="AG1154" s="84"/>
      <c r="AH1154" s="84"/>
      <c r="AI1154" s="84"/>
      <c r="AL1154" s="84"/>
      <c r="AM1154" s="84"/>
      <c r="AN1154" s="84"/>
      <c r="AO1154" s="84"/>
      <c r="AP1154" s="84"/>
      <c r="AQ1154" s="84"/>
      <c r="AR1154" s="84"/>
      <c r="AS1154" s="84"/>
      <c r="AT1154" s="84"/>
      <c r="AU1154" s="84"/>
      <c r="AV1154" s="84"/>
      <c r="AY1154" s="84"/>
      <c r="AZ1154" s="84"/>
      <c r="BA1154" s="84"/>
      <c r="BB1154" s="84"/>
      <c r="BC1154" s="84"/>
      <c r="BD1154" s="84"/>
      <c r="BE1154" s="84"/>
      <c r="BF1154" s="942"/>
      <c r="BG1154" s="942"/>
      <c r="BH1154" s="942"/>
      <c r="BI1154" s="84"/>
      <c r="BL1154" s="84"/>
      <c r="BM1154" s="84"/>
      <c r="BN1154" s="84"/>
      <c r="BO1154" s="84"/>
      <c r="BP1154" s="84"/>
      <c r="BQ1154" s="84"/>
      <c r="BR1154" s="84"/>
      <c r="BS1154" s="942"/>
      <c r="BT1154" s="942"/>
      <c r="BU1154" s="942"/>
      <c r="BV1154" s="84"/>
    </row>
    <row r="1155" spans="14:74" ht="14.25">
      <c r="N1155" s="84"/>
      <c r="O1155" s="84"/>
      <c r="P1155" s="84"/>
      <c r="Q1155" s="84"/>
      <c r="R1155" s="84"/>
      <c r="S1155" s="84"/>
      <c r="T1155" s="84"/>
      <c r="U1155" s="84"/>
      <c r="V1155" s="84"/>
      <c r="W1155" s="84"/>
      <c r="Y1155" s="84"/>
      <c r="Z1155" s="84"/>
      <c r="AA1155" s="84"/>
      <c r="AB1155" s="84"/>
      <c r="AC1155" s="84"/>
      <c r="AD1155" s="84"/>
      <c r="AE1155" s="84"/>
      <c r="AF1155" s="84"/>
      <c r="AG1155" s="84"/>
      <c r="AH1155" s="84"/>
      <c r="AI1155" s="84"/>
      <c r="AL1155" s="84"/>
      <c r="AM1155" s="84"/>
      <c r="AN1155" s="84"/>
      <c r="AO1155" s="84"/>
      <c r="AP1155" s="84"/>
      <c r="AQ1155" s="84"/>
      <c r="AR1155" s="84"/>
      <c r="AS1155" s="84"/>
      <c r="AT1155" s="84"/>
      <c r="AU1155" s="84"/>
      <c r="AV1155" s="84"/>
      <c r="AY1155" s="84"/>
      <c r="AZ1155" s="84"/>
      <c r="BA1155" s="84"/>
      <c r="BB1155" s="84"/>
      <c r="BC1155" s="84"/>
      <c r="BD1155" s="84"/>
      <c r="BE1155" s="84"/>
      <c r="BF1155" s="942"/>
      <c r="BG1155" s="942"/>
      <c r="BH1155" s="942"/>
      <c r="BI1155" s="84"/>
      <c r="BL1155" s="84"/>
      <c r="BM1155" s="84"/>
      <c r="BN1155" s="84"/>
      <c r="BO1155" s="84"/>
      <c r="BP1155" s="84"/>
      <c r="BQ1155" s="84"/>
      <c r="BR1155" s="84"/>
      <c r="BS1155" s="942"/>
      <c r="BT1155" s="942"/>
      <c r="BU1155" s="942"/>
      <c r="BV1155" s="84"/>
    </row>
    <row r="1156" spans="14:74" ht="14.25">
      <c r="N1156" s="84"/>
      <c r="O1156" s="84"/>
      <c r="P1156" s="84"/>
      <c r="Q1156" s="84"/>
      <c r="R1156" s="84"/>
      <c r="S1156" s="84"/>
      <c r="T1156" s="84"/>
      <c r="U1156" s="84"/>
      <c r="V1156" s="84"/>
      <c r="W1156" s="84"/>
      <c r="Y1156" s="84"/>
      <c r="Z1156" s="84"/>
      <c r="AA1156" s="84"/>
      <c r="AB1156" s="84"/>
      <c r="AC1156" s="84"/>
      <c r="AD1156" s="84"/>
      <c r="AE1156" s="84"/>
      <c r="AF1156" s="84"/>
      <c r="AG1156" s="84"/>
      <c r="AH1156" s="84"/>
      <c r="AI1156" s="84"/>
      <c r="AL1156" s="84"/>
      <c r="AM1156" s="84"/>
      <c r="AN1156" s="84"/>
      <c r="AO1156" s="84"/>
      <c r="AP1156" s="84"/>
      <c r="AQ1156" s="84"/>
      <c r="AR1156" s="84"/>
      <c r="AS1156" s="84"/>
      <c r="AT1156" s="84"/>
      <c r="AU1156" s="84"/>
      <c r="AV1156" s="84"/>
      <c r="AY1156" s="84"/>
      <c r="AZ1156" s="84"/>
      <c r="BA1156" s="84"/>
      <c r="BB1156" s="84"/>
      <c r="BC1156" s="84"/>
      <c r="BD1156" s="84"/>
      <c r="BE1156" s="84"/>
      <c r="BF1156" s="942"/>
      <c r="BG1156" s="942"/>
      <c r="BH1156" s="942"/>
      <c r="BI1156" s="84"/>
      <c r="BL1156" s="84"/>
      <c r="BM1156" s="84"/>
      <c r="BN1156" s="84"/>
      <c r="BO1156" s="84"/>
      <c r="BP1156" s="84"/>
      <c r="BQ1156" s="84"/>
      <c r="BR1156" s="84"/>
      <c r="BS1156" s="942"/>
      <c r="BT1156" s="942"/>
      <c r="BU1156" s="942"/>
      <c r="BV1156" s="84"/>
    </row>
    <row r="1157" spans="14:74" ht="14.25">
      <c r="N1157" s="84"/>
      <c r="O1157" s="84"/>
      <c r="P1157" s="84"/>
      <c r="Q1157" s="84"/>
      <c r="R1157" s="84"/>
      <c r="S1157" s="84"/>
      <c r="T1157" s="84"/>
      <c r="U1157" s="84"/>
      <c r="V1157" s="84"/>
      <c r="W1157" s="84"/>
      <c r="Y1157" s="84"/>
      <c r="Z1157" s="84"/>
      <c r="AA1157" s="84"/>
      <c r="AB1157" s="84"/>
      <c r="AC1157" s="84"/>
      <c r="AD1157" s="84"/>
      <c r="AE1157" s="84"/>
      <c r="AF1157" s="84"/>
      <c r="AG1157" s="84"/>
      <c r="AH1157" s="84"/>
      <c r="AI1157" s="84"/>
      <c r="AL1157" s="84"/>
      <c r="AM1157" s="84"/>
      <c r="AN1157" s="84"/>
      <c r="AO1157" s="84"/>
      <c r="AP1157" s="84"/>
      <c r="AQ1157" s="84"/>
      <c r="AR1157" s="84"/>
      <c r="AS1157" s="84"/>
      <c r="AT1157" s="84"/>
      <c r="AU1157" s="84"/>
      <c r="AV1157" s="84"/>
      <c r="AY1157" s="84"/>
      <c r="AZ1157" s="84"/>
      <c r="BA1157" s="84"/>
      <c r="BB1157" s="84"/>
      <c r="BC1157" s="84"/>
      <c r="BD1157" s="84"/>
      <c r="BE1157" s="84"/>
      <c r="BF1157" s="942"/>
      <c r="BG1157" s="942"/>
      <c r="BH1157" s="942"/>
      <c r="BI1157" s="84"/>
      <c r="BL1157" s="84"/>
      <c r="BM1157" s="84"/>
      <c r="BN1157" s="84"/>
      <c r="BO1157" s="84"/>
      <c r="BP1157" s="84"/>
      <c r="BQ1157" s="84"/>
      <c r="BR1157" s="84"/>
      <c r="BS1157" s="942"/>
      <c r="BT1157" s="942"/>
      <c r="BU1157" s="942"/>
      <c r="BV1157" s="84"/>
    </row>
    <row r="1158" spans="14:74" ht="14.25">
      <c r="N1158" s="84"/>
      <c r="O1158" s="84"/>
      <c r="P1158" s="84"/>
      <c r="Q1158" s="84"/>
      <c r="R1158" s="84"/>
      <c r="S1158" s="84"/>
      <c r="T1158" s="84"/>
      <c r="U1158" s="84"/>
      <c r="V1158" s="84"/>
      <c r="W1158" s="84"/>
      <c r="Y1158" s="84"/>
      <c r="Z1158" s="84"/>
      <c r="AA1158" s="84"/>
      <c r="AB1158" s="84"/>
      <c r="AC1158" s="84"/>
      <c r="AD1158" s="84"/>
      <c r="AE1158" s="84"/>
      <c r="AF1158" s="84"/>
      <c r="AG1158" s="84"/>
      <c r="AH1158" s="84"/>
      <c r="AI1158" s="84"/>
      <c r="AL1158" s="84"/>
      <c r="AM1158" s="84"/>
      <c r="AN1158" s="84"/>
      <c r="AO1158" s="84"/>
      <c r="AP1158" s="84"/>
      <c r="AQ1158" s="84"/>
      <c r="AR1158" s="84"/>
      <c r="AS1158" s="84"/>
      <c r="AT1158" s="84"/>
      <c r="AU1158" s="84"/>
      <c r="AV1158" s="84"/>
      <c r="AY1158" s="84"/>
      <c r="AZ1158" s="84"/>
      <c r="BA1158" s="84"/>
      <c r="BB1158" s="84"/>
      <c r="BC1158" s="84"/>
      <c r="BD1158" s="84"/>
      <c r="BE1158" s="84"/>
      <c r="BF1158" s="942"/>
      <c r="BG1158" s="942"/>
      <c r="BH1158" s="942"/>
      <c r="BI1158" s="84"/>
      <c r="BL1158" s="84"/>
      <c r="BM1158" s="84"/>
      <c r="BN1158" s="84"/>
      <c r="BO1158" s="84"/>
      <c r="BP1158" s="84"/>
      <c r="BQ1158" s="84"/>
      <c r="BR1158" s="84"/>
      <c r="BS1158" s="942"/>
      <c r="BT1158" s="942"/>
      <c r="BU1158" s="942"/>
      <c r="BV1158" s="84"/>
    </row>
    <row r="1159" spans="14:74" ht="14.25">
      <c r="N1159" s="84"/>
      <c r="O1159" s="84"/>
      <c r="P1159" s="84"/>
      <c r="Q1159" s="84"/>
      <c r="R1159" s="84"/>
      <c r="S1159" s="84"/>
      <c r="T1159" s="84"/>
      <c r="U1159" s="84"/>
      <c r="V1159" s="84"/>
      <c r="W1159" s="84"/>
      <c r="Y1159" s="84"/>
      <c r="Z1159" s="84"/>
      <c r="AA1159" s="84"/>
      <c r="AB1159" s="84"/>
      <c r="AC1159" s="84"/>
      <c r="AD1159" s="84"/>
      <c r="AE1159" s="84"/>
      <c r="AF1159" s="84"/>
      <c r="AG1159" s="84"/>
      <c r="AH1159" s="84"/>
      <c r="AI1159" s="84"/>
      <c r="AL1159" s="84"/>
      <c r="AM1159" s="84"/>
      <c r="AN1159" s="84"/>
      <c r="AO1159" s="84"/>
      <c r="AP1159" s="84"/>
      <c r="AQ1159" s="84"/>
      <c r="AR1159" s="84"/>
      <c r="AS1159" s="84"/>
      <c r="AT1159" s="84"/>
      <c r="AU1159" s="84"/>
      <c r="AV1159" s="84"/>
      <c r="AY1159" s="84"/>
      <c r="AZ1159" s="84"/>
      <c r="BA1159" s="84"/>
      <c r="BB1159" s="84"/>
      <c r="BC1159" s="84"/>
      <c r="BD1159" s="84"/>
      <c r="BE1159" s="84"/>
      <c r="BF1159" s="942"/>
      <c r="BG1159" s="942"/>
      <c r="BH1159" s="942"/>
      <c r="BI1159" s="84"/>
      <c r="BL1159" s="84"/>
      <c r="BM1159" s="84"/>
      <c r="BN1159" s="84"/>
      <c r="BO1159" s="84"/>
      <c r="BP1159" s="84"/>
      <c r="BQ1159" s="84"/>
      <c r="BR1159" s="84"/>
      <c r="BS1159" s="942"/>
      <c r="BT1159" s="942"/>
      <c r="BU1159" s="942"/>
      <c r="BV1159" s="84"/>
    </row>
    <row r="1160" spans="14:74" ht="14.25">
      <c r="N1160" s="84"/>
      <c r="O1160" s="84"/>
      <c r="P1160" s="84"/>
      <c r="Q1160" s="84"/>
      <c r="R1160" s="84"/>
      <c r="S1160" s="84"/>
      <c r="T1160" s="84"/>
      <c r="U1160" s="84"/>
      <c r="V1160" s="84"/>
      <c r="W1160" s="84"/>
      <c r="Y1160" s="84"/>
      <c r="Z1160" s="84"/>
      <c r="AA1160" s="84"/>
      <c r="AB1160" s="84"/>
      <c r="AC1160" s="84"/>
      <c r="AD1160" s="84"/>
      <c r="AE1160" s="84"/>
      <c r="AF1160" s="84"/>
      <c r="AG1160" s="84"/>
      <c r="AH1160" s="84"/>
      <c r="AI1160" s="84"/>
      <c r="AL1160" s="84"/>
      <c r="AM1160" s="84"/>
      <c r="AN1160" s="84"/>
      <c r="AO1160" s="84"/>
      <c r="AP1160" s="84"/>
      <c r="AQ1160" s="84"/>
      <c r="AR1160" s="84"/>
      <c r="AS1160" s="84"/>
      <c r="AT1160" s="84"/>
      <c r="AU1160" s="84"/>
      <c r="AV1160" s="84"/>
      <c r="AY1160" s="84"/>
      <c r="AZ1160" s="84"/>
      <c r="BA1160" s="84"/>
      <c r="BB1160" s="84"/>
      <c r="BC1160" s="84"/>
      <c r="BD1160" s="84"/>
      <c r="BE1160" s="84"/>
      <c r="BF1160" s="942"/>
      <c r="BG1160" s="942"/>
      <c r="BH1160" s="942"/>
      <c r="BI1160" s="84"/>
      <c r="BL1160" s="84"/>
      <c r="BM1160" s="84"/>
      <c r="BN1160" s="84"/>
      <c r="BO1160" s="84"/>
      <c r="BP1160" s="84"/>
      <c r="BQ1160" s="84"/>
      <c r="BR1160" s="84"/>
      <c r="BS1160" s="942"/>
      <c r="BT1160" s="942"/>
      <c r="BU1160" s="942"/>
      <c r="BV1160" s="84"/>
    </row>
    <row r="1161" spans="14:74" ht="14.25">
      <c r="N1161" s="84"/>
      <c r="O1161" s="84"/>
      <c r="P1161" s="84"/>
      <c r="Q1161" s="84"/>
      <c r="R1161" s="84"/>
      <c r="S1161" s="84"/>
      <c r="T1161" s="84"/>
      <c r="U1161" s="84"/>
      <c r="V1161" s="84"/>
      <c r="W1161" s="84"/>
      <c r="Y1161" s="84"/>
      <c r="Z1161" s="84"/>
      <c r="AA1161" s="84"/>
      <c r="AB1161" s="84"/>
      <c r="AC1161" s="84"/>
      <c r="AD1161" s="84"/>
      <c r="AE1161" s="84"/>
      <c r="AF1161" s="84"/>
      <c r="AG1161" s="84"/>
      <c r="AH1161" s="84"/>
      <c r="AI1161" s="84"/>
      <c r="AL1161" s="84"/>
      <c r="AM1161" s="84"/>
      <c r="AN1161" s="84"/>
      <c r="AO1161" s="84"/>
      <c r="AP1161" s="84"/>
      <c r="AQ1161" s="84"/>
      <c r="AR1161" s="84"/>
      <c r="AS1161" s="84"/>
      <c r="AT1161" s="84"/>
      <c r="AU1161" s="84"/>
      <c r="AV1161" s="84"/>
      <c r="AY1161" s="84"/>
      <c r="AZ1161" s="84"/>
      <c r="BA1161" s="84"/>
      <c r="BB1161" s="84"/>
      <c r="BC1161" s="84"/>
      <c r="BD1161" s="84"/>
      <c r="BE1161" s="84"/>
      <c r="BF1161" s="942"/>
      <c r="BG1161" s="942"/>
      <c r="BH1161" s="942"/>
      <c r="BI1161" s="84"/>
      <c r="BL1161" s="84"/>
      <c r="BM1161" s="84"/>
      <c r="BN1161" s="84"/>
      <c r="BO1161" s="84"/>
      <c r="BP1161" s="84"/>
      <c r="BQ1161" s="84"/>
      <c r="BR1161" s="84"/>
      <c r="BS1161" s="942"/>
      <c r="BT1161" s="942"/>
      <c r="BU1161" s="942"/>
      <c r="BV1161" s="84"/>
    </row>
    <row r="1162" spans="14:74" ht="14.25">
      <c r="N1162" s="84"/>
      <c r="O1162" s="84"/>
      <c r="P1162" s="84"/>
      <c r="Q1162" s="84"/>
      <c r="R1162" s="84"/>
      <c r="S1162" s="84"/>
      <c r="T1162" s="84"/>
      <c r="U1162" s="84"/>
      <c r="V1162" s="84"/>
      <c r="W1162" s="84"/>
      <c r="Y1162" s="84"/>
      <c r="Z1162" s="84"/>
      <c r="AA1162" s="84"/>
      <c r="AB1162" s="84"/>
      <c r="AC1162" s="84"/>
      <c r="AD1162" s="84"/>
      <c r="AE1162" s="84"/>
      <c r="AF1162" s="84"/>
      <c r="AG1162" s="84"/>
      <c r="AH1162" s="84"/>
      <c r="AI1162" s="84"/>
      <c r="AL1162" s="84"/>
      <c r="AM1162" s="84"/>
      <c r="AN1162" s="84"/>
      <c r="AO1162" s="84"/>
      <c r="AP1162" s="84"/>
      <c r="AQ1162" s="84"/>
      <c r="AR1162" s="84"/>
      <c r="AS1162" s="84"/>
      <c r="AT1162" s="84"/>
      <c r="AU1162" s="84"/>
      <c r="AV1162" s="84"/>
      <c r="AY1162" s="84"/>
      <c r="AZ1162" s="84"/>
      <c r="BA1162" s="84"/>
      <c r="BB1162" s="84"/>
      <c r="BC1162" s="84"/>
      <c r="BD1162" s="84"/>
      <c r="BE1162" s="84"/>
      <c r="BF1162" s="942"/>
      <c r="BG1162" s="942"/>
      <c r="BH1162" s="942"/>
      <c r="BI1162" s="84"/>
      <c r="BL1162" s="84"/>
      <c r="BM1162" s="84"/>
      <c r="BN1162" s="84"/>
      <c r="BO1162" s="84"/>
      <c r="BP1162" s="84"/>
      <c r="BQ1162" s="84"/>
      <c r="BR1162" s="84"/>
      <c r="BS1162" s="942"/>
      <c r="BT1162" s="942"/>
      <c r="BU1162" s="942"/>
      <c r="BV1162" s="84"/>
    </row>
    <row r="1163" spans="14:74" ht="14.25">
      <c r="N1163" s="84"/>
      <c r="O1163" s="84"/>
      <c r="P1163" s="84"/>
      <c r="Q1163" s="84"/>
      <c r="R1163" s="84"/>
      <c r="S1163" s="84"/>
      <c r="T1163" s="84"/>
      <c r="U1163" s="84"/>
      <c r="V1163" s="84"/>
      <c r="W1163" s="84"/>
      <c r="Y1163" s="84"/>
      <c r="Z1163" s="84"/>
      <c r="AA1163" s="84"/>
      <c r="AB1163" s="84"/>
      <c r="AC1163" s="84"/>
      <c r="AD1163" s="84"/>
      <c r="AE1163" s="84"/>
      <c r="AF1163" s="84"/>
      <c r="AG1163" s="84"/>
      <c r="AH1163" s="84"/>
      <c r="AI1163" s="84"/>
      <c r="AL1163" s="84"/>
      <c r="AM1163" s="84"/>
      <c r="AN1163" s="84"/>
      <c r="AO1163" s="84"/>
      <c r="AP1163" s="84"/>
      <c r="AQ1163" s="84"/>
      <c r="AR1163" s="84"/>
      <c r="AS1163" s="84"/>
      <c r="AT1163" s="84"/>
      <c r="AU1163" s="84"/>
      <c r="AV1163" s="84"/>
      <c r="AY1163" s="84"/>
      <c r="AZ1163" s="84"/>
      <c r="BA1163" s="84"/>
      <c r="BB1163" s="84"/>
      <c r="BC1163" s="84"/>
      <c r="BD1163" s="84"/>
      <c r="BE1163" s="84"/>
      <c r="BF1163" s="942"/>
      <c r="BG1163" s="942"/>
      <c r="BH1163" s="942"/>
      <c r="BI1163" s="84"/>
      <c r="BL1163" s="84"/>
      <c r="BM1163" s="84"/>
      <c r="BN1163" s="84"/>
      <c r="BO1163" s="84"/>
      <c r="BP1163" s="84"/>
      <c r="BQ1163" s="84"/>
      <c r="BR1163" s="84"/>
      <c r="BS1163" s="942"/>
      <c r="BT1163" s="942"/>
      <c r="BU1163" s="942"/>
      <c r="BV1163" s="84"/>
    </row>
    <row r="1164" spans="14:74" ht="14.25">
      <c r="N1164" s="84"/>
      <c r="O1164" s="84"/>
      <c r="P1164" s="84"/>
      <c r="Q1164" s="84"/>
      <c r="R1164" s="84"/>
      <c r="S1164" s="84"/>
      <c r="T1164" s="84"/>
      <c r="U1164" s="84"/>
      <c r="V1164" s="84"/>
      <c r="W1164" s="84"/>
      <c r="Y1164" s="84"/>
      <c r="Z1164" s="84"/>
      <c r="AA1164" s="84"/>
      <c r="AB1164" s="84"/>
      <c r="AC1164" s="84"/>
      <c r="AD1164" s="84"/>
      <c r="AE1164" s="84"/>
      <c r="AF1164" s="84"/>
      <c r="AG1164" s="84"/>
      <c r="AH1164" s="84"/>
      <c r="AI1164" s="84"/>
      <c r="AL1164" s="84"/>
      <c r="AM1164" s="84"/>
      <c r="AN1164" s="84"/>
      <c r="AO1164" s="84"/>
      <c r="AP1164" s="84"/>
      <c r="AQ1164" s="84"/>
      <c r="AR1164" s="84"/>
      <c r="AS1164" s="84"/>
      <c r="AT1164" s="84"/>
      <c r="AU1164" s="84"/>
      <c r="AV1164" s="84"/>
      <c r="AY1164" s="84"/>
      <c r="AZ1164" s="84"/>
      <c r="BA1164" s="84"/>
      <c r="BB1164" s="84"/>
      <c r="BC1164" s="84"/>
      <c r="BD1164" s="84"/>
      <c r="BE1164" s="84"/>
      <c r="BF1164" s="942"/>
      <c r="BG1164" s="942"/>
      <c r="BH1164" s="942"/>
      <c r="BI1164" s="84"/>
      <c r="BL1164" s="84"/>
      <c r="BM1164" s="84"/>
      <c r="BN1164" s="84"/>
      <c r="BO1164" s="84"/>
      <c r="BP1164" s="84"/>
      <c r="BQ1164" s="84"/>
      <c r="BR1164" s="84"/>
      <c r="BS1164" s="942"/>
      <c r="BT1164" s="942"/>
      <c r="BU1164" s="942"/>
      <c r="BV1164" s="84"/>
    </row>
    <row r="1165" spans="14:74" ht="14.25">
      <c r="N1165" s="84"/>
      <c r="O1165" s="84"/>
      <c r="P1165" s="84"/>
      <c r="Q1165" s="84"/>
      <c r="R1165" s="84"/>
      <c r="S1165" s="84"/>
      <c r="T1165" s="84"/>
      <c r="U1165" s="84"/>
      <c r="V1165" s="84"/>
      <c r="W1165" s="84"/>
      <c r="Y1165" s="84"/>
      <c r="Z1165" s="84"/>
      <c r="AA1165" s="84"/>
      <c r="AB1165" s="84"/>
      <c r="AC1165" s="84"/>
      <c r="AD1165" s="84"/>
      <c r="AE1165" s="84"/>
      <c r="AF1165" s="84"/>
      <c r="AG1165" s="84"/>
      <c r="AH1165" s="84"/>
      <c r="AI1165" s="84"/>
      <c r="AL1165" s="84"/>
      <c r="AM1165" s="84"/>
      <c r="AN1165" s="84"/>
      <c r="AO1165" s="84"/>
      <c r="AP1165" s="84"/>
      <c r="AQ1165" s="84"/>
      <c r="AR1165" s="84"/>
      <c r="AS1165" s="84"/>
      <c r="AT1165" s="84"/>
      <c r="AU1165" s="84"/>
      <c r="AV1165" s="84"/>
      <c r="AY1165" s="84"/>
      <c r="AZ1165" s="84"/>
      <c r="BA1165" s="84"/>
      <c r="BB1165" s="84"/>
      <c r="BC1165" s="84"/>
      <c r="BD1165" s="84"/>
      <c r="BE1165" s="84"/>
      <c r="BF1165" s="942"/>
      <c r="BG1165" s="942"/>
      <c r="BH1165" s="942"/>
      <c r="BI1165" s="84"/>
      <c r="BL1165" s="84"/>
      <c r="BM1165" s="84"/>
      <c r="BN1165" s="84"/>
      <c r="BO1165" s="84"/>
      <c r="BP1165" s="84"/>
      <c r="BQ1165" s="84"/>
      <c r="BR1165" s="84"/>
      <c r="BS1165" s="942"/>
      <c r="BT1165" s="942"/>
      <c r="BU1165" s="942"/>
      <c r="BV1165" s="84"/>
    </row>
    <row r="1166" spans="14:74" ht="14.25">
      <c r="N1166" s="84"/>
      <c r="O1166" s="84"/>
      <c r="P1166" s="84"/>
      <c r="Q1166" s="84"/>
      <c r="R1166" s="84"/>
      <c r="S1166" s="84"/>
      <c r="T1166" s="84"/>
      <c r="U1166" s="84"/>
      <c r="V1166" s="84"/>
      <c r="W1166" s="84"/>
      <c r="Y1166" s="84"/>
      <c r="Z1166" s="84"/>
      <c r="AA1166" s="84"/>
      <c r="AB1166" s="84"/>
      <c r="AC1166" s="84"/>
      <c r="AD1166" s="84"/>
      <c r="AE1166" s="84"/>
      <c r="AF1166" s="84"/>
      <c r="AG1166" s="84"/>
      <c r="AH1166" s="84"/>
      <c r="AI1166" s="84"/>
      <c r="AL1166" s="84"/>
      <c r="AM1166" s="84"/>
      <c r="AN1166" s="84"/>
      <c r="AO1166" s="84"/>
      <c r="AP1166" s="84"/>
      <c r="AQ1166" s="84"/>
      <c r="AR1166" s="84"/>
      <c r="AS1166" s="84"/>
      <c r="AT1166" s="84"/>
      <c r="AU1166" s="84"/>
      <c r="AV1166" s="84"/>
      <c r="AY1166" s="84"/>
      <c r="AZ1166" s="84"/>
      <c r="BA1166" s="84"/>
      <c r="BB1166" s="84"/>
      <c r="BC1166" s="84"/>
      <c r="BD1166" s="84"/>
      <c r="BE1166" s="84"/>
      <c r="BF1166" s="942"/>
      <c r="BG1166" s="942"/>
      <c r="BH1166" s="942"/>
      <c r="BI1166" s="84"/>
      <c r="BL1166" s="84"/>
      <c r="BM1166" s="84"/>
      <c r="BN1166" s="84"/>
      <c r="BO1166" s="84"/>
      <c r="BP1166" s="84"/>
      <c r="BQ1166" s="84"/>
      <c r="BR1166" s="84"/>
      <c r="BS1166" s="942"/>
      <c r="BT1166" s="942"/>
      <c r="BU1166" s="942"/>
      <c r="BV1166" s="84"/>
    </row>
    <row r="1167" spans="14:74" ht="14.25">
      <c r="N1167" s="84"/>
      <c r="O1167" s="84"/>
      <c r="P1167" s="84"/>
      <c r="Q1167" s="84"/>
      <c r="R1167" s="84"/>
      <c r="S1167" s="84"/>
      <c r="T1167" s="84"/>
      <c r="U1167" s="84"/>
      <c r="V1167" s="84"/>
      <c r="W1167" s="84"/>
      <c r="Y1167" s="84"/>
      <c r="Z1167" s="84"/>
      <c r="AA1167" s="84"/>
      <c r="AB1167" s="84"/>
      <c r="AC1167" s="84"/>
      <c r="AD1167" s="84"/>
      <c r="AE1167" s="84"/>
      <c r="AF1167" s="84"/>
      <c r="AG1167" s="84"/>
      <c r="AH1167" s="84"/>
      <c r="AI1167" s="84"/>
      <c r="AL1167" s="84"/>
      <c r="AM1167" s="84"/>
      <c r="AN1167" s="84"/>
      <c r="AO1167" s="84"/>
      <c r="AP1167" s="84"/>
      <c r="AQ1167" s="84"/>
      <c r="AR1167" s="84"/>
      <c r="AS1167" s="84"/>
      <c r="AT1167" s="84"/>
      <c r="AU1167" s="84"/>
      <c r="AV1167" s="84"/>
      <c r="AY1167" s="84"/>
      <c r="AZ1167" s="84"/>
      <c r="BA1167" s="84"/>
      <c r="BB1167" s="84"/>
      <c r="BC1167" s="84"/>
      <c r="BD1167" s="84"/>
      <c r="BE1167" s="84"/>
      <c r="BF1167" s="942"/>
      <c r="BG1167" s="942"/>
      <c r="BH1167" s="942"/>
      <c r="BI1167" s="84"/>
      <c r="BL1167" s="84"/>
      <c r="BM1167" s="84"/>
      <c r="BN1167" s="84"/>
      <c r="BO1167" s="84"/>
      <c r="BP1167" s="84"/>
      <c r="BQ1167" s="84"/>
      <c r="BR1167" s="84"/>
      <c r="BS1167" s="942"/>
      <c r="BT1167" s="942"/>
      <c r="BU1167" s="942"/>
      <c r="BV1167" s="84"/>
    </row>
    <row r="1168" spans="14:74" ht="14.25">
      <c r="N1168" s="84"/>
      <c r="O1168" s="84"/>
      <c r="P1168" s="84"/>
      <c r="Q1168" s="84"/>
      <c r="R1168" s="84"/>
      <c r="S1168" s="84"/>
      <c r="T1168" s="84"/>
      <c r="U1168" s="84"/>
      <c r="V1168" s="84"/>
      <c r="W1168" s="84"/>
      <c r="Y1168" s="84"/>
      <c r="Z1168" s="84"/>
      <c r="AA1168" s="84"/>
      <c r="AB1168" s="84"/>
      <c r="AC1168" s="84"/>
      <c r="AD1168" s="84"/>
      <c r="AE1168" s="84"/>
      <c r="AF1168" s="84"/>
      <c r="AG1168" s="84"/>
      <c r="AH1168" s="84"/>
      <c r="AI1168" s="84"/>
      <c r="AL1168" s="84"/>
      <c r="AM1168" s="84"/>
      <c r="AN1168" s="84"/>
      <c r="AO1168" s="84"/>
      <c r="AP1168" s="84"/>
      <c r="AQ1168" s="84"/>
      <c r="AR1168" s="84"/>
      <c r="AS1168" s="84"/>
      <c r="AT1168" s="84"/>
      <c r="AU1168" s="84"/>
      <c r="AV1168" s="84"/>
      <c r="AY1168" s="84"/>
      <c r="AZ1168" s="84"/>
      <c r="BA1168" s="84"/>
      <c r="BB1168" s="84"/>
      <c r="BC1168" s="84"/>
      <c r="BD1168" s="84"/>
      <c r="BE1168" s="84"/>
      <c r="BF1168" s="942"/>
      <c r="BG1168" s="942"/>
      <c r="BH1168" s="942"/>
      <c r="BI1168" s="84"/>
      <c r="BL1168" s="84"/>
      <c r="BM1168" s="84"/>
      <c r="BN1168" s="84"/>
      <c r="BO1168" s="84"/>
      <c r="BP1168" s="84"/>
      <c r="BQ1168" s="84"/>
      <c r="BR1168" s="84"/>
      <c r="BS1168" s="942"/>
      <c r="BT1168" s="942"/>
      <c r="BU1168" s="942"/>
      <c r="BV1168" s="84"/>
    </row>
    <row r="1169" spans="14:74" ht="14.25">
      <c r="N1169" s="84"/>
      <c r="O1169" s="84"/>
      <c r="P1169" s="84"/>
      <c r="Q1169" s="84"/>
      <c r="R1169" s="84"/>
      <c r="S1169" s="84"/>
      <c r="T1169" s="84"/>
      <c r="U1169" s="84"/>
      <c r="V1169" s="84"/>
      <c r="W1169" s="84"/>
      <c r="Y1169" s="84"/>
      <c r="Z1169" s="84"/>
      <c r="AA1169" s="84"/>
      <c r="AB1169" s="84"/>
      <c r="AC1169" s="84"/>
      <c r="AD1169" s="84"/>
      <c r="AE1169" s="84"/>
      <c r="AF1169" s="84"/>
      <c r="AG1169" s="84"/>
      <c r="AH1169" s="84"/>
      <c r="AI1169" s="84"/>
      <c r="AL1169" s="84"/>
      <c r="AM1169" s="84"/>
      <c r="AN1169" s="84"/>
      <c r="AO1169" s="84"/>
      <c r="AP1169" s="84"/>
      <c r="AQ1169" s="84"/>
      <c r="AR1169" s="84"/>
      <c r="AS1169" s="84"/>
      <c r="AT1169" s="84"/>
      <c r="AU1169" s="84"/>
      <c r="AV1169" s="84"/>
      <c r="AY1169" s="84"/>
      <c r="AZ1169" s="84"/>
      <c r="BA1169" s="84"/>
      <c r="BB1169" s="84"/>
      <c r="BC1169" s="84"/>
      <c r="BD1169" s="84"/>
      <c r="BE1169" s="84"/>
      <c r="BF1169" s="942"/>
      <c r="BG1169" s="942"/>
      <c r="BH1169" s="942"/>
      <c r="BI1169" s="84"/>
      <c r="BL1169" s="84"/>
      <c r="BM1169" s="84"/>
      <c r="BN1169" s="84"/>
      <c r="BO1169" s="84"/>
      <c r="BP1169" s="84"/>
      <c r="BQ1169" s="84"/>
      <c r="BR1169" s="84"/>
      <c r="BS1169" s="942"/>
      <c r="BT1169" s="942"/>
      <c r="BU1169" s="942"/>
      <c r="BV1169" s="84"/>
    </row>
    <row r="1170" spans="14:74" ht="14.25">
      <c r="N1170" s="84"/>
      <c r="O1170" s="84"/>
      <c r="P1170" s="84"/>
      <c r="Q1170" s="84"/>
      <c r="R1170" s="84"/>
      <c r="S1170" s="84"/>
      <c r="T1170" s="84"/>
      <c r="U1170" s="84"/>
      <c r="V1170" s="84"/>
      <c r="W1170" s="84"/>
      <c r="Y1170" s="84"/>
      <c r="Z1170" s="84"/>
      <c r="AA1170" s="84"/>
      <c r="AB1170" s="84"/>
      <c r="AC1170" s="84"/>
      <c r="AD1170" s="84"/>
      <c r="AE1170" s="84"/>
      <c r="AF1170" s="84"/>
      <c r="AG1170" s="84"/>
      <c r="AH1170" s="84"/>
      <c r="AI1170" s="84"/>
      <c r="AL1170" s="84"/>
      <c r="AM1170" s="84"/>
      <c r="AN1170" s="84"/>
      <c r="AO1170" s="84"/>
      <c r="AP1170" s="84"/>
      <c r="AQ1170" s="84"/>
      <c r="AR1170" s="84"/>
      <c r="AS1170" s="84"/>
      <c r="AT1170" s="84"/>
      <c r="AU1170" s="84"/>
      <c r="AV1170" s="84"/>
      <c r="AY1170" s="84"/>
      <c r="AZ1170" s="84"/>
      <c r="BA1170" s="84"/>
      <c r="BB1170" s="84"/>
      <c r="BC1170" s="84"/>
      <c r="BD1170" s="84"/>
      <c r="BE1170" s="84"/>
      <c r="BF1170" s="942"/>
      <c r="BG1170" s="942"/>
      <c r="BH1170" s="942"/>
      <c r="BI1170" s="84"/>
      <c r="BL1170" s="84"/>
      <c r="BM1170" s="84"/>
      <c r="BN1170" s="84"/>
      <c r="BO1170" s="84"/>
      <c r="BP1170" s="84"/>
      <c r="BQ1170" s="84"/>
      <c r="BR1170" s="84"/>
      <c r="BS1170" s="942"/>
      <c r="BT1170" s="942"/>
      <c r="BU1170" s="942"/>
      <c r="BV1170" s="84"/>
    </row>
    <row r="1171" spans="14:74" ht="14.25">
      <c r="N1171" s="84"/>
      <c r="O1171" s="84"/>
      <c r="P1171" s="84"/>
      <c r="Q1171" s="84"/>
      <c r="R1171" s="84"/>
      <c r="S1171" s="84"/>
      <c r="T1171" s="84"/>
      <c r="U1171" s="84"/>
      <c r="V1171" s="84"/>
      <c r="W1171" s="84"/>
      <c r="Y1171" s="84"/>
      <c r="Z1171" s="84"/>
      <c r="AA1171" s="84"/>
      <c r="AB1171" s="84"/>
      <c r="AC1171" s="84"/>
      <c r="AD1171" s="84"/>
      <c r="AE1171" s="84"/>
      <c r="AF1171" s="84"/>
      <c r="AG1171" s="84"/>
      <c r="AH1171" s="84"/>
      <c r="AI1171" s="84"/>
      <c r="AL1171" s="84"/>
      <c r="AM1171" s="84"/>
      <c r="AN1171" s="84"/>
      <c r="AO1171" s="84"/>
      <c r="AP1171" s="84"/>
      <c r="AQ1171" s="84"/>
      <c r="AR1171" s="84"/>
      <c r="AS1171" s="84"/>
      <c r="AT1171" s="84"/>
      <c r="AU1171" s="84"/>
      <c r="AV1171" s="84"/>
      <c r="AY1171" s="84"/>
      <c r="AZ1171" s="84"/>
      <c r="BA1171" s="84"/>
      <c r="BB1171" s="84"/>
      <c r="BC1171" s="84"/>
      <c r="BD1171" s="84"/>
      <c r="BE1171" s="84"/>
      <c r="BF1171" s="942"/>
      <c r="BG1171" s="942"/>
      <c r="BH1171" s="942"/>
      <c r="BI1171" s="84"/>
      <c r="BL1171" s="84"/>
      <c r="BM1171" s="84"/>
      <c r="BN1171" s="84"/>
      <c r="BO1171" s="84"/>
      <c r="BP1171" s="84"/>
      <c r="BQ1171" s="84"/>
      <c r="BR1171" s="84"/>
      <c r="BS1171" s="942"/>
      <c r="BT1171" s="942"/>
      <c r="BU1171" s="942"/>
      <c r="BV1171" s="84"/>
    </row>
    <row r="1172" spans="14:74" ht="14.25">
      <c r="N1172" s="84"/>
      <c r="O1172" s="84"/>
      <c r="P1172" s="84"/>
      <c r="Q1172" s="84"/>
      <c r="R1172" s="84"/>
      <c r="S1172" s="84"/>
      <c r="T1172" s="84"/>
      <c r="U1172" s="84"/>
      <c r="V1172" s="84"/>
      <c r="W1172" s="84"/>
      <c r="Y1172" s="84"/>
      <c r="Z1172" s="84"/>
      <c r="AA1172" s="84"/>
      <c r="AB1172" s="84"/>
      <c r="AC1172" s="84"/>
      <c r="AD1172" s="84"/>
      <c r="AE1172" s="84"/>
      <c r="AF1172" s="84"/>
      <c r="AG1172" s="84"/>
      <c r="AH1172" s="84"/>
      <c r="AI1172" s="84"/>
      <c r="AL1172" s="84"/>
      <c r="AM1172" s="84"/>
      <c r="AN1172" s="84"/>
      <c r="AO1172" s="84"/>
      <c r="AP1172" s="84"/>
      <c r="AQ1172" s="84"/>
      <c r="AR1172" s="84"/>
      <c r="AS1172" s="84"/>
      <c r="AT1172" s="84"/>
      <c r="AU1172" s="84"/>
      <c r="AV1172" s="84"/>
      <c r="AY1172" s="84"/>
      <c r="AZ1172" s="84"/>
      <c r="BA1172" s="84"/>
      <c r="BB1172" s="84"/>
      <c r="BC1172" s="84"/>
      <c r="BD1172" s="84"/>
      <c r="BE1172" s="84"/>
      <c r="BF1172" s="942"/>
      <c r="BG1172" s="942"/>
      <c r="BH1172" s="942"/>
      <c r="BI1172" s="84"/>
      <c r="BL1172" s="84"/>
      <c r="BM1172" s="84"/>
      <c r="BN1172" s="84"/>
      <c r="BO1172" s="84"/>
      <c r="BP1172" s="84"/>
      <c r="BQ1172" s="84"/>
      <c r="BR1172" s="84"/>
      <c r="BS1172" s="942"/>
      <c r="BT1172" s="942"/>
      <c r="BU1172" s="942"/>
      <c r="BV1172" s="84"/>
    </row>
    <row r="1173" spans="14:74" ht="14.25">
      <c r="N1173" s="84"/>
      <c r="O1173" s="84"/>
      <c r="P1173" s="84"/>
      <c r="Q1173" s="84"/>
      <c r="R1173" s="84"/>
      <c r="S1173" s="84"/>
      <c r="T1173" s="84"/>
      <c r="U1173" s="84"/>
      <c r="V1173" s="84"/>
      <c r="W1173" s="84"/>
      <c r="Y1173" s="84"/>
      <c r="Z1173" s="84"/>
      <c r="AA1173" s="84"/>
      <c r="AB1173" s="84"/>
      <c r="AC1173" s="84"/>
      <c r="AD1173" s="84"/>
      <c r="AE1173" s="84"/>
      <c r="AF1173" s="84"/>
      <c r="AG1173" s="84"/>
      <c r="AH1173" s="84"/>
      <c r="AI1173" s="84"/>
      <c r="AL1173" s="84"/>
      <c r="AM1173" s="84"/>
      <c r="AN1173" s="84"/>
      <c r="AO1173" s="84"/>
      <c r="AP1173" s="84"/>
      <c r="AQ1173" s="84"/>
      <c r="AR1173" s="84"/>
      <c r="AS1173" s="84"/>
      <c r="AT1173" s="84"/>
      <c r="AU1173" s="84"/>
      <c r="AV1173" s="84"/>
      <c r="AY1173" s="84"/>
      <c r="AZ1173" s="84"/>
      <c r="BA1173" s="84"/>
      <c r="BB1173" s="84"/>
      <c r="BC1173" s="84"/>
      <c r="BD1173" s="84"/>
      <c r="BE1173" s="84"/>
      <c r="BF1173" s="942"/>
      <c r="BG1173" s="942"/>
      <c r="BH1173" s="942"/>
      <c r="BI1173" s="84"/>
      <c r="BL1173" s="84"/>
      <c r="BM1173" s="84"/>
      <c r="BN1173" s="84"/>
      <c r="BO1173" s="84"/>
      <c r="BP1173" s="84"/>
      <c r="BQ1173" s="84"/>
      <c r="BR1173" s="84"/>
      <c r="BS1173" s="942"/>
      <c r="BT1173" s="942"/>
      <c r="BU1173" s="942"/>
      <c r="BV1173" s="84"/>
    </row>
    <row r="1174" spans="14:74" ht="14.25">
      <c r="N1174" s="84"/>
      <c r="O1174" s="84"/>
      <c r="P1174" s="84"/>
      <c r="Q1174" s="84"/>
      <c r="R1174" s="84"/>
      <c r="S1174" s="84"/>
      <c r="T1174" s="84"/>
      <c r="U1174" s="84"/>
      <c r="V1174" s="84"/>
      <c r="W1174" s="84"/>
      <c r="Y1174" s="84"/>
      <c r="Z1174" s="84"/>
      <c r="AA1174" s="84"/>
      <c r="AB1174" s="84"/>
      <c r="AC1174" s="84"/>
      <c r="AD1174" s="84"/>
      <c r="AE1174" s="84"/>
      <c r="AF1174" s="84"/>
      <c r="AG1174" s="84"/>
      <c r="AH1174" s="84"/>
      <c r="AI1174" s="84"/>
      <c r="AL1174" s="84"/>
      <c r="AM1174" s="84"/>
      <c r="AN1174" s="84"/>
      <c r="AO1174" s="84"/>
      <c r="AP1174" s="84"/>
      <c r="AQ1174" s="84"/>
      <c r="AR1174" s="84"/>
      <c r="AS1174" s="84"/>
      <c r="AT1174" s="84"/>
      <c r="AU1174" s="84"/>
      <c r="AV1174" s="84"/>
      <c r="AY1174" s="84"/>
      <c r="AZ1174" s="84"/>
      <c r="BA1174" s="84"/>
      <c r="BB1174" s="84"/>
      <c r="BC1174" s="84"/>
      <c r="BD1174" s="84"/>
      <c r="BE1174" s="84"/>
      <c r="BF1174" s="942"/>
      <c r="BG1174" s="942"/>
      <c r="BH1174" s="942"/>
      <c r="BI1174" s="84"/>
      <c r="BL1174" s="84"/>
      <c r="BM1174" s="84"/>
      <c r="BN1174" s="84"/>
      <c r="BO1174" s="84"/>
      <c r="BP1174" s="84"/>
      <c r="BQ1174" s="84"/>
      <c r="BR1174" s="84"/>
      <c r="BS1174" s="942"/>
      <c r="BT1174" s="942"/>
      <c r="BU1174" s="942"/>
      <c r="BV1174" s="84"/>
    </row>
    <row r="1175" spans="14:74" ht="14.25">
      <c r="N1175" s="84"/>
      <c r="O1175" s="84"/>
      <c r="P1175" s="84"/>
      <c r="Q1175" s="84"/>
      <c r="R1175" s="84"/>
      <c r="S1175" s="84"/>
      <c r="T1175" s="84"/>
      <c r="U1175" s="84"/>
      <c r="V1175" s="84"/>
      <c r="W1175" s="84"/>
      <c r="Y1175" s="84"/>
      <c r="Z1175" s="84"/>
      <c r="AA1175" s="84"/>
      <c r="AB1175" s="84"/>
      <c r="AC1175" s="84"/>
      <c r="AD1175" s="84"/>
      <c r="AE1175" s="84"/>
      <c r="AF1175" s="84"/>
      <c r="AG1175" s="84"/>
      <c r="AH1175" s="84"/>
      <c r="AI1175" s="84"/>
      <c r="AL1175" s="84"/>
      <c r="AM1175" s="84"/>
      <c r="AN1175" s="84"/>
      <c r="AO1175" s="84"/>
      <c r="AP1175" s="84"/>
      <c r="AQ1175" s="84"/>
      <c r="AR1175" s="84"/>
      <c r="AS1175" s="84"/>
      <c r="AT1175" s="84"/>
      <c r="AU1175" s="84"/>
      <c r="AV1175" s="84"/>
      <c r="AY1175" s="84"/>
      <c r="AZ1175" s="84"/>
      <c r="BA1175" s="84"/>
      <c r="BB1175" s="84"/>
      <c r="BC1175" s="84"/>
      <c r="BD1175" s="84"/>
      <c r="BE1175" s="84"/>
      <c r="BF1175" s="942"/>
      <c r="BG1175" s="942"/>
      <c r="BH1175" s="942"/>
      <c r="BI1175" s="84"/>
      <c r="BL1175" s="84"/>
      <c r="BM1175" s="84"/>
      <c r="BN1175" s="84"/>
      <c r="BO1175" s="84"/>
      <c r="BP1175" s="84"/>
      <c r="BQ1175" s="84"/>
      <c r="BR1175" s="84"/>
      <c r="BS1175" s="942"/>
      <c r="BT1175" s="942"/>
      <c r="BU1175" s="942"/>
      <c r="BV1175" s="84"/>
    </row>
    <row r="1176" spans="14:74" ht="14.25">
      <c r="N1176" s="84"/>
      <c r="O1176" s="84"/>
      <c r="P1176" s="84"/>
      <c r="Q1176" s="84"/>
      <c r="R1176" s="84"/>
      <c r="S1176" s="84"/>
      <c r="T1176" s="84"/>
      <c r="U1176" s="84"/>
      <c r="V1176" s="84"/>
      <c r="W1176" s="84"/>
      <c r="Y1176" s="84"/>
      <c r="Z1176" s="84"/>
      <c r="AA1176" s="84"/>
      <c r="AB1176" s="84"/>
      <c r="AC1176" s="84"/>
      <c r="AD1176" s="84"/>
      <c r="AE1176" s="84"/>
      <c r="AF1176" s="84"/>
      <c r="AG1176" s="84"/>
      <c r="AH1176" s="84"/>
      <c r="AI1176" s="84"/>
      <c r="AL1176" s="84"/>
      <c r="AM1176" s="84"/>
      <c r="AN1176" s="84"/>
      <c r="AO1176" s="84"/>
      <c r="AP1176" s="84"/>
      <c r="AQ1176" s="84"/>
      <c r="AR1176" s="84"/>
      <c r="AS1176" s="84"/>
      <c r="AT1176" s="84"/>
      <c r="AU1176" s="84"/>
      <c r="AV1176" s="84"/>
      <c r="AY1176" s="84"/>
      <c r="AZ1176" s="84"/>
      <c r="BA1176" s="84"/>
      <c r="BB1176" s="84"/>
      <c r="BC1176" s="84"/>
      <c r="BD1176" s="84"/>
      <c r="BE1176" s="84"/>
      <c r="BF1176" s="942"/>
      <c r="BG1176" s="942"/>
      <c r="BH1176" s="942"/>
      <c r="BI1176" s="84"/>
      <c r="BL1176" s="84"/>
      <c r="BM1176" s="84"/>
      <c r="BN1176" s="84"/>
      <c r="BO1176" s="84"/>
      <c r="BP1176" s="84"/>
      <c r="BQ1176" s="84"/>
      <c r="BR1176" s="84"/>
      <c r="BS1176" s="942"/>
      <c r="BT1176" s="942"/>
      <c r="BU1176" s="942"/>
      <c r="BV1176" s="84"/>
    </row>
    <row r="1177" spans="14:74" ht="14.25">
      <c r="N1177" s="84"/>
      <c r="O1177" s="84"/>
      <c r="P1177" s="84"/>
      <c r="Q1177" s="84"/>
      <c r="R1177" s="84"/>
      <c r="S1177" s="84"/>
      <c r="T1177" s="84"/>
      <c r="U1177" s="84"/>
      <c r="V1177" s="84"/>
      <c r="W1177" s="84"/>
      <c r="Y1177" s="84"/>
      <c r="Z1177" s="84"/>
      <c r="AA1177" s="84"/>
      <c r="AB1177" s="84"/>
      <c r="AC1177" s="84"/>
      <c r="AD1177" s="84"/>
      <c r="AE1177" s="84"/>
      <c r="AF1177" s="84"/>
      <c r="AG1177" s="84"/>
      <c r="AH1177" s="84"/>
      <c r="AI1177" s="84"/>
      <c r="AL1177" s="84"/>
      <c r="AM1177" s="84"/>
      <c r="AN1177" s="84"/>
      <c r="AO1177" s="84"/>
      <c r="AP1177" s="84"/>
      <c r="AQ1177" s="84"/>
      <c r="AR1177" s="84"/>
      <c r="AS1177" s="84"/>
      <c r="AT1177" s="84"/>
      <c r="AU1177" s="84"/>
      <c r="AV1177" s="84"/>
      <c r="AY1177" s="84"/>
      <c r="AZ1177" s="84"/>
      <c r="BA1177" s="84"/>
      <c r="BB1177" s="84"/>
      <c r="BC1177" s="84"/>
      <c r="BD1177" s="84"/>
      <c r="BE1177" s="84"/>
      <c r="BF1177" s="942"/>
      <c r="BG1177" s="942"/>
      <c r="BH1177" s="942"/>
      <c r="BI1177" s="84"/>
      <c r="BL1177" s="84"/>
      <c r="BM1177" s="84"/>
      <c r="BN1177" s="84"/>
      <c r="BO1177" s="84"/>
      <c r="BP1177" s="84"/>
      <c r="BQ1177" s="84"/>
      <c r="BR1177" s="84"/>
      <c r="BS1177" s="942"/>
      <c r="BT1177" s="942"/>
      <c r="BU1177" s="942"/>
      <c r="BV1177" s="84"/>
    </row>
    <row r="1178" spans="14:74" ht="14.25">
      <c r="N1178" s="84"/>
      <c r="O1178" s="84"/>
      <c r="P1178" s="84"/>
      <c r="Q1178" s="84"/>
      <c r="R1178" s="84"/>
      <c r="S1178" s="84"/>
      <c r="T1178" s="84"/>
      <c r="U1178" s="84"/>
      <c r="V1178" s="84"/>
      <c r="W1178" s="84"/>
      <c r="Y1178" s="84"/>
      <c r="Z1178" s="84"/>
      <c r="AA1178" s="84"/>
      <c r="AB1178" s="84"/>
      <c r="AC1178" s="84"/>
      <c r="AD1178" s="84"/>
      <c r="AE1178" s="84"/>
      <c r="AF1178" s="84"/>
      <c r="AG1178" s="84"/>
      <c r="AH1178" s="84"/>
      <c r="AI1178" s="84"/>
      <c r="AL1178" s="84"/>
      <c r="AM1178" s="84"/>
      <c r="AN1178" s="84"/>
      <c r="AO1178" s="84"/>
      <c r="AP1178" s="84"/>
      <c r="AQ1178" s="84"/>
      <c r="AR1178" s="84"/>
      <c r="AS1178" s="84"/>
      <c r="AT1178" s="84"/>
      <c r="AU1178" s="84"/>
      <c r="AV1178" s="84"/>
      <c r="AY1178" s="84"/>
      <c r="AZ1178" s="84"/>
      <c r="BA1178" s="84"/>
      <c r="BB1178" s="84"/>
      <c r="BC1178" s="84"/>
      <c r="BD1178" s="84"/>
      <c r="BE1178" s="84"/>
      <c r="BF1178" s="942"/>
      <c r="BG1178" s="942"/>
      <c r="BH1178" s="942"/>
      <c r="BI1178" s="84"/>
      <c r="BL1178" s="84"/>
      <c r="BM1178" s="84"/>
      <c r="BN1178" s="84"/>
      <c r="BO1178" s="84"/>
      <c r="BP1178" s="84"/>
      <c r="BQ1178" s="84"/>
      <c r="BR1178" s="84"/>
      <c r="BS1178" s="942"/>
      <c r="BT1178" s="942"/>
      <c r="BU1178" s="942"/>
      <c r="BV1178" s="84"/>
    </row>
    <row r="1179" spans="14:74" ht="14.25">
      <c r="N1179" s="84"/>
      <c r="O1179" s="84"/>
      <c r="P1179" s="84"/>
      <c r="Q1179" s="84"/>
      <c r="R1179" s="84"/>
      <c r="S1179" s="84"/>
      <c r="T1179" s="84"/>
      <c r="U1179" s="84"/>
      <c r="V1179" s="84"/>
      <c r="W1179" s="84"/>
      <c r="Y1179" s="84"/>
      <c r="Z1179" s="84"/>
      <c r="AA1179" s="84"/>
      <c r="AB1179" s="84"/>
      <c r="AC1179" s="84"/>
      <c r="AD1179" s="84"/>
      <c r="AE1179" s="84"/>
      <c r="AF1179" s="84"/>
      <c r="AG1179" s="84"/>
      <c r="AH1179" s="84"/>
      <c r="AI1179" s="84"/>
      <c r="AL1179" s="84"/>
      <c r="AM1179" s="84"/>
      <c r="AN1179" s="84"/>
      <c r="AO1179" s="84"/>
      <c r="AP1179" s="84"/>
      <c r="AQ1179" s="84"/>
      <c r="AR1179" s="84"/>
      <c r="AS1179" s="84"/>
      <c r="AT1179" s="84"/>
      <c r="AU1179" s="84"/>
      <c r="AV1179" s="84"/>
      <c r="AY1179" s="84"/>
      <c r="AZ1179" s="84"/>
      <c r="BA1179" s="84"/>
      <c r="BB1179" s="84"/>
      <c r="BC1179" s="84"/>
      <c r="BD1179" s="84"/>
      <c r="BE1179" s="84"/>
      <c r="BF1179" s="942"/>
      <c r="BG1179" s="942"/>
      <c r="BH1179" s="942"/>
      <c r="BI1179" s="84"/>
      <c r="BL1179" s="84"/>
      <c r="BM1179" s="84"/>
      <c r="BN1179" s="84"/>
      <c r="BO1179" s="84"/>
      <c r="BP1179" s="84"/>
      <c r="BQ1179" s="84"/>
      <c r="BR1179" s="84"/>
      <c r="BS1179" s="942"/>
      <c r="BT1179" s="942"/>
      <c r="BU1179" s="942"/>
      <c r="BV1179" s="84"/>
    </row>
    <row r="1180" spans="14:74" ht="14.25">
      <c r="N1180" s="84"/>
      <c r="O1180" s="84"/>
      <c r="P1180" s="84"/>
      <c r="Q1180" s="84"/>
      <c r="R1180" s="84"/>
      <c r="S1180" s="84"/>
      <c r="T1180" s="84"/>
      <c r="U1180" s="84"/>
      <c r="V1180" s="84"/>
      <c r="W1180" s="84"/>
      <c r="Y1180" s="84"/>
      <c r="Z1180" s="84"/>
      <c r="AA1180" s="84"/>
      <c r="AB1180" s="84"/>
      <c r="AC1180" s="84"/>
      <c r="AD1180" s="84"/>
      <c r="AE1180" s="84"/>
      <c r="AF1180" s="84"/>
      <c r="AG1180" s="84"/>
      <c r="AH1180" s="84"/>
      <c r="AI1180" s="84"/>
      <c r="AL1180" s="84"/>
      <c r="AM1180" s="84"/>
      <c r="AN1180" s="84"/>
      <c r="AO1180" s="84"/>
      <c r="AP1180" s="84"/>
      <c r="AQ1180" s="84"/>
      <c r="AR1180" s="84"/>
      <c r="AS1180" s="84"/>
      <c r="AT1180" s="84"/>
      <c r="AU1180" s="84"/>
      <c r="AV1180" s="84"/>
      <c r="AY1180" s="84"/>
      <c r="AZ1180" s="84"/>
      <c r="BA1180" s="84"/>
      <c r="BB1180" s="84"/>
      <c r="BC1180" s="84"/>
      <c r="BD1180" s="84"/>
      <c r="BE1180" s="84"/>
      <c r="BF1180" s="942"/>
      <c r="BG1180" s="942"/>
      <c r="BH1180" s="942"/>
      <c r="BI1180" s="84"/>
      <c r="BL1180" s="84"/>
      <c r="BM1180" s="84"/>
      <c r="BN1180" s="84"/>
      <c r="BO1180" s="84"/>
      <c r="BP1180" s="84"/>
      <c r="BQ1180" s="84"/>
      <c r="BR1180" s="84"/>
      <c r="BS1180" s="942"/>
      <c r="BT1180" s="942"/>
      <c r="BU1180" s="942"/>
      <c r="BV1180" s="84"/>
    </row>
    <row r="1181" spans="14:74" ht="14.25">
      <c r="N1181" s="84"/>
      <c r="O1181" s="84"/>
      <c r="P1181" s="84"/>
      <c r="Q1181" s="84"/>
      <c r="R1181" s="84"/>
      <c r="S1181" s="84"/>
      <c r="T1181" s="84"/>
      <c r="U1181" s="84"/>
      <c r="V1181" s="84"/>
      <c r="W1181" s="84"/>
      <c r="Y1181" s="84"/>
      <c r="Z1181" s="84"/>
      <c r="AA1181" s="84"/>
      <c r="AB1181" s="84"/>
      <c r="AC1181" s="84"/>
      <c r="AD1181" s="84"/>
      <c r="AE1181" s="84"/>
      <c r="AF1181" s="84"/>
      <c r="AG1181" s="84"/>
      <c r="AH1181" s="84"/>
      <c r="AI1181" s="84"/>
      <c r="AL1181" s="84"/>
      <c r="AM1181" s="84"/>
      <c r="AN1181" s="84"/>
      <c r="AO1181" s="84"/>
      <c r="AP1181" s="84"/>
      <c r="AQ1181" s="84"/>
      <c r="AR1181" s="84"/>
      <c r="AS1181" s="84"/>
      <c r="AT1181" s="84"/>
      <c r="AU1181" s="84"/>
      <c r="AV1181" s="84"/>
      <c r="AY1181" s="84"/>
      <c r="AZ1181" s="84"/>
      <c r="BA1181" s="84"/>
      <c r="BB1181" s="84"/>
      <c r="BC1181" s="84"/>
      <c r="BD1181" s="84"/>
      <c r="BE1181" s="84"/>
      <c r="BF1181" s="942"/>
      <c r="BG1181" s="942"/>
      <c r="BH1181" s="942"/>
      <c r="BI1181" s="84"/>
      <c r="BL1181" s="84"/>
      <c r="BM1181" s="84"/>
      <c r="BN1181" s="84"/>
      <c r="BO1181" s="84"/>
      <c r="BP1181" s="84"/>
      <c r="BQ1181" s="84"/>
      <c r="BR1181" s="84"/>
      <c r="BS1181" s="942"/>
      <c r="BT1181" s="942"/>
      <c r="BU1181" s="942"/>
      <c r="BV1181" s="84"/>
    </row>
    <row r="1182" spans="14:74" ht="14.25">
      <c r="N1182" s="84"/>
      <c r="O1182" s="84"/>
      <c r="P1182" s="84"/>
      <c r="Q1182" s="84"/>
      <c r="R1182" s="84"/>
      <c r="S1182" s="84"/>
      <c r="T1182" s="84"/>
      <c r="U1182" s="84"/>
      <c r="V1182" s="84"/>
      <c r="W1182" s="84"/>
      <c r="Y1182" s="84"/>
      <c r="Z1182" s="84"/>
      <c r="AA1182" s="84"/>
      <c r="AB1182" s="84"/>
      <c r="AC1182" s="84"/>
      <c r="AD1182" s="84"/>
      <c r="AE1182" s="84"/>
      <c r="AF1182" s="84"/>
      <c r="AG1182" s="84"/>
      <c r="AH1182" s="84"/>
      <c r="AI1182" s="84"/>
      <c r="AL1182" s="84"/>
      <c r="AM1182" s="84"/>
      <c r="AN1182" s="84"/>
      <c r="AO1182" s="84"/>
      <c r="AP1182" s="84"/>
      <c r="AQ1182" s="84"/>
      <c r="AR1182" s="84"/>
      <c r="AS1182" s="84"/>
      <c r="AT1182" s="84"/>
      <c r="AU1182" s="84"/>
      <c r="AV1182" s="84"/>
      <c r="AY1182" s="84"/>
      <c r="AZ1182" s="84"/>
      <c r="BA1182" s="84"/>
      <c r="BB1182" s="84"/>
      <c r="BC1182" s="84"/>
      <c r="BD1182" s="84"/>
      <c r="BE1182" s="84"/>
      <c r="BF1182" s="942"/>
      <c r="BG1182" s="942"/>
      <c r="BH1182" s="942"/>
      <c r="BI1182" s="84"/>
      <c r="BL1182" s="84"/>
      <c r="BM1182" s="84"/>
      <c r="BN1182" s="84"/>
      <c r="BO1182" s="84"/>
      <c r="BP1182" s="84"/>
      <c r="BQ1182" s="84"/>
      <c r="BR1182" s="84"/>
      <c r="BS1182" s="942"/>
      <c r="BT1182" s="942"/>
      <c r="BU1182" s="942"/>
      <c r="BV1182" s="84"/>
    </row>
    <row r="1183" spans="14:74" ht="14.25">
      <c r="N1183" s="84"/>
      <c r="O1183" s="84"/>
      <c r="P1183" s="84"/>
      <c r="Q1183" s="84"/>
      <c r="R1183" s="84"/>
      <c r="S1183" s="84"/>
      <c r="T1183" s="84"/>
      <c r="U1183" s="84"/>
      <c r="V1183" s="84"/>
      <c r="W1183" s="84"/>
      <c r="Y1183" s="84"/>
      <c r="Z1183" s="84"/>
      <c r="AA1183" s="84"/>
      <c r="AB1183" s="84"/>
      <c r="AC1183" s="84"/>
      <c r="AD1183" s="84"/>
      <c r="AE1183" s="84"/>
      <c r="AF1183" s="84"/>
      <c r="AG1183" s="84"/>
      <c r="AH1183" s="84"/>
      <c r="AI1183" s="84"/>
      <c r="AL1183" s="84"/>
      <c r="AM1183" s="84"/>
      <c r="AN1183" s="84"/>
      <c r="AO1183" s="84"/>
      <c r="AP1183" s="84"/>
      <c r="AQ1183" s="84"/>
      <c r="AR1183" s="84"/>
      <c r="AS1183" s="84"/>
      <c r="AT1183" s="84"/>
      <c r="AU1183" s="84"/>
      <c r="AV1183" s="84"/>
      <c r="AY1183" s="84"/>
      <c r="AZ1183" s="84"/>
      <c r="BA1183" s="84"/>
      <c r="BB1183" s="84"/>
      <c r="BC1183" s="84"/>
      <c r="BD1183" s="84"/>
      <c r="BE1183" s="84"/>
      <c r="BF1183" s="942"/>
      <c r="BG1183" s="942"/>
      <c r="BH1183" s="942"/>
      <c r="BI1183" s="84"/>
      <c r="BL1183" s="84"/>
      <c r="BM1183" s="84"/>
      <c r="BN1183" s="84"/>
      <c r="BO1183" s="84"/>
      <c r="BP1183" s="84"/>
      <c r="BQ1183" s="84"/>
      <c r="BR1183" s="84"/>
      <c r="BS1183" s="942"/>
      <c r="BT1183" s="942"/>
      <c r="BU1183" s="942"/>
      <c r="BV1183" s="84"/>
    </row>
    <row r="1184" spans="14:74" ht="14.25">
      <c r="N1184" s="84"/>
      <c r="O1184" s="84"/>
      <c r="P1184" s="84"/>
      <c r="Q1184" s="84"/>
      <c r="R1184" s="84"/>
      <c r="S1184" s="84"/>
      <c r="T1184" s="84"/>
      <c r="U1184" s="84"/>
      <c r="V1184" s="84"/>
      <c r="W1184" s="84"/>
      <c r="Y1184" s="84"/>
      <c r="Z1184" s="84"/>
      <c r="AA1184" s="84"/>
      <c r="AB1184" s="84"/>
      <c r="AC1184" s="84"/>
      <c r="AD1184" s="84"/>
      <c r="AE1184" s="84"/>
      <c r="AF1184" s="84"/>
      <c r="AG1184" s="84"/>
      <c r="AH1184" s="84"/>
      <c r="AI1184" s="84"/>
      <c r="AL1184" s="84"/>
      <c r="AM1184" s="84"/>
      <c r="AN1184" s="84"/>
      <c r="AO1184" s="84"/>
      <c r="AP1184" s="84"/>
      <c r="AQ1184" s="84"/>
      <c r="AR1184" s="84"/>
      <c r="AS1184" s="84"/>
      <c r="AT1184" s="84"/>
      <c r="AU1184" s="84"/>
      <c r="AV1184" s="84"/>
      <c r="AY1184" s="84"/>
      <c r="AZ1184" s="84"/>
      <c r="BA1184" s="84"/>
      <c r="BB1184" s="84"/>
      <c r="BC1184" s="84"/>
      <c r="BD1184" s="84"/>
      <c r="BE1184" s="84"/>
      <c r="BF1184" s="942"/>
      <c r="BG1184" s="942"/>
      <c r="BH1184" s="942"/>
      <c r="BI1184" s="84"/>
      <c r="BL1184" s="84"/>
      <c r="BM1184" s="84"/>
      <c r="BN1184" s="84"/>
      <c r="BO1184" s="84"/>
      <c r="BP1184" s="84"/>
      <c r="BQ1184" s="84"/>
      <c r="BR1184" s="84"/>
      <c r="BS1184" s="942"/>
      <c r="BT1184" s="942"/>
      <c r="BU1184" s="942"/>
      <c r="BV1184" s="84"/>
    </row>
    <row r="1185" spans="14:74" ht="14.25">
      <c r="N1185" s="84"/>
      <c r="O1185" s="84"/>
      <c r="P1185" s="84"/>
      <c r="Q1185" s="84"/>
      <c r="R1185" s="84"/>
      <c r="S1185" s="84"/>
      <c r="T1185" s="84"/>
      <c r="U1185" s="84"/>
      <c r="V1185" s="84"/>
      <c r="W1185" s="84"/>
      <c r="Y1185" s="84"/>
      <c r="Z1185" s="84"/>
      <c r="AA1185" s="84"/>
      <c r="AB1185" s="84"/>
      <c r="AC1185" s="84"/>
      <c r="AD1185" s="84"/>
      <c r="AE1185" s="84"/>
      <c r="AF1185" s="84"/>
      <c r="AG1185" s="84"/>
      <c r="AH1185" s="84"/>
      <c r="AI1185" s="84"/>
      <c r="AL1185" s="84"/>
      <c r="AM1185" s="84"/>
      <c r="AN1185" s="84"/>
      <c r="AO1185" s="84"/>
      <c r="AP1185" s="84"/>
      <c r="AQ1185" s="84"/>
      <c r="AR1185" s="84"/>
      <c r="AS1185" s="84"/>
      <c r="AT1185" s="84"/>
      <c r="AU1185" s="84"/>
      <c r="AV1185" s="84"/>
      <c r="AY1185" s="84"/>
      <c r="AZ1185" s="84"/>
      <c r="BA1185" s="84"/>
      <c r="BB1185" s="84"/>
      <c r="BC1185" s="84"/>
      <c r="BD1185" s="84"/>
      <c r="BE1185" s="84"/>
      <c r="BF1185" s="942"/>
      <c r="BG1185" s="942"/>
      <c r="BH1185" s="942"/>
      <c r="BI1185" s="84"/>
      <c r="BL1185" s="84"/>
      <c r="BM1185" s="84"/>
      <c r="BN1185" s="84"/>
      <c r="BO1185" s="84"/>
      <c r="BP1185" s="84"/>
      <c r="BQ1185" s="84"/>
      <c r="BR1185" s="84"/>
      <c r="BS1185" s="942"/>
      <c r="BT1185" s="942"/>
      <c r="BU1185" s="942"/>
      <c r="BV1185" s="84"/>
    </row>
    <row r="1186" spans="14:74" ht="14.25">
      <c r="N1186" s="84"/>
      <c r="O1186" s="84"/>
      <c r="P1186" s="84"/>
      <c r="Q1186" s="84"/>
      <c r="R1186" s="84"/>
      <c r="S1186" s="84"/>
      <c r="T1186" s="84"/>
      <c r="U1186" s="84"/>
      <c r="V1186" s="84"/>
      <c r="W1186" s="84"/>
      <c r="Y1186" s="84"/>
      <c r="Z1186" s="84"/>
      <c r="AA1186" s="84"/>
      <c r="AB1186" s="84"/>
      <c r="AC1186" s="84"/>
      <c r="AD1186" s="84"/>
      <c r="AE1186" s="84"/>
      <c r="AF1186" s="84"/>
      <c r="AG1186" s="84"/>
      <c r="AH1186" s="84"/>
      <c r="AI1186" s="84"/>
      <c r="AL1186" s="84"/>
      <c r="AM1186" s="84"/>
      <c r="AN1186" s="84"/>
      <c r="AO1186" s="84"/>
      <c r="AP1186" s="84"/>
      <c r="AQ1186" s="84"/>
      <c r="AR1186" s="84"/>
      <c r="AS1186" s="84"/>
      <c r="AT1186" s="84"/>
      <c r="AU1186" s="84"/>
      <c r="AV1186" s="84"/>
      <c r="AY1186" s="84"/>
      <c r="AZ1186" s="84"/>
      <c r="BA1186" s="84"/>
      <c r="BB1186" s="84"/>
      <c r="BC1186" s="84"/>
      <c r="BD1186" s="84"/>
      <c r="BE1186" s="84"/>
      <c r="BF1186" s="942"/>
      <c r="BG1186" s="942"/>
      <c r="BH1186" s="942"/>
      <c r="BI1186" s="84"/>
      <c r="BL1186" s="84"/>
      <c r="BM1186" s="84"/>
      <c r="BN1186" s="84"/>
      <c r="BO1186" s="84"/>
      <c r="BP1186" s="84"/>
      <c r="BQ1186" s="84"/>
      <c r="BR1186" s="84"/>
      <c r="BS1186" s="942"/>
      <c r="BT1186" s="942"/>
      <c r="BU1186" s="942"/>
      <c r="BV1186" s="84"/>
    </row>
    <row r="1187" spans="14:74" ht="14.25">
      <c r="N1187" s="84"/>
      <c r="O1187" s="84"/>
      <c r="P1187" s="84"/>
      <c r="Q1187" s="84"/>
      <c r="R1187" s="84"/>
      <c r="S1187" s="84"/>
      <c r="T1187" s="84"/>
      <c r="U1187" s="84"/>
      <c r="V1187" s="84"/>
      <c r="W1187" s="84"/>
      <c r="Y1187" s="84"/>
      <c r="Z1187" s="84"/>
      <c r="AA1187" s="84"/>
      <c r="AB1187" s="84"/>
      <c r="AC1187" s="84"/>
      <c r="AD1187" s="84"/>
      <c r="AE1187" s="84"/>
      <c r="AF1187" s="84"/>
      <c r="AG1187" s="84"/>
      <c r="AH1187" s="84"/>
      <c r="AI1187" s="84"/>
      <c r="AL1187" s="84"/>
      <c r="AM1187" s="84"/>
      <c r="AN1187" s="84"/>
      <c r="AO1187" s="84"/>
      <c r="AP1187" s="84"/>
      <c r="AQ1187" s="84"/>
      <c r="AR1187" s="84"/>
      <c r="AS1187" s="84"/>
      <c r="AT1187" s="84"/>
      <c r="AU1187" s="84"/>
      <c r="AV1187" s="84"/>
      <c r="AY1187" s="84"/>
      <c r="AZ1187" s="84"/>
      <c r="BA1187" s="84"/>
      <c r="BB1187" s="84"/>
      <c r="BC1187" s="84"/>
      <c r="BD1187" s="84"/>
      <c r="BE1187" s="84"/>
      <c r="BF1187" s="942"/>
      <c r="BG1187" s="942"/>
      <c r="BH1187" s="942"/>
      <c r="BI1187" s="84"/>
      <c r="BL1187" s="84"/>
      <c r="BM1187" s="84"/>
      <c r="BN1187" s="84"/>
      <c r="BO1187" s="84"/>
      <c r="BP1187" s="84"/>
      <c r="BQ1187" s="84"/>
      <c r="BR1187" s="84"/>
      <c r="BS1187" s="942"/>
      <c r="BT1187" s="942"/>
      <c r="BU1187" s="942"/>
      <c r="BV1187" s="84"/>
    </row>
    <row r="1188" spans="14:74" ht="14.25">
      <c r="N1188" s="84"/>
      <c r="O1188" s="84"/>
      <c r="P1188" s="84"/>
      <c r="Q1188" s="84"/>
      <c r="R1188" s="84"/>
      <c r="S1188" s="84"/>
      <c r="T1188" s="84"/>
      <c r="U1188" s="84"/>
      <c r="V1188" s="84"/>
      <c r="W1188" s="84"/>
      <c r="Y1188" s="84"/>
      <c r="Z1188" s="84"/>
      <c r="AA1188" s="84"/>
      <c r="AB1188" s="84"/>
      <c r="AC1188" s="84"/>
      <c r="AD1188" s="84"/>
      <c r="AE1188" s="84"/>
      <c r="AF1188" s="84"/>
      <c r="AG1188" s="84"/>
      <c r="AH1188" s="84"/>
      <c r="AI1188" s="84"/>
      <c r="AL1188" s="84"/>
      <c r="AM1188" s="84"/>
      <c r="AN1188" s="84"/>
      <c r="AO1188" s="84"/>
      <c r="AP1188" s="84"/>
      <c r="AQ1188" s="84"/>
      <c r="AR1188" s="84"/>
      <c r="AS1188" s="84"/>
      <c r="AT1188" s="84"/>
      <c r="AU1188" s="84"/>
      <c r="AV1188" s="84"/>
      <c r="AY1188" s="84"/>
      <c r="AZ1188" s="84"/>
      <c r="BA1188" s="84"/>
      <c r="BB1188" s="84"/>
      <c r="BC1188" s="84"/>
      <c r="BD1188" s="84"/>
      <c r="BE1188" s="84"/>
      <c r="BF1188" s="942"/>
      <c r="BG1188" s="942"/>
      <c r="BH1188" s="942"/>
      <c r="BI1188" s="84"/>
      <c r="BL1188" s="84"/>
      <c r="BM1188" s="84"/>
      <c r="BN1188" s="84"/>
      <c r="BO1188" s="84"/>
      <c r="BP1188" s="84"/>
      <c r="BQ1188" s="84"/>
      <c r="BR1188" s="84"/>
      <c r="BS1188" s="942"/>
      <c r="BT1188" s="942"/>
      <c r="BU1188" s="942"/>
      <c r="BV1188" s="84"/>
    </row>
    <row r="1189" spans="14:74" ht="14.25">
      <c r="N1189" s="84"/>
      <c r="O1189" s="84"/>
      <c r="P1189" s="84"/>
      <c r="Q1189" s="84"/>
      <c r="R1189" s="84"/>
      <c r="S1189" s="84"/>
      <c r="T1189" s="84"/>
      <c r="U1189" s="84"/>
      <c r="V1189" s="84"/>
      <c r="W1189" s="84"/>
      <c r="Y1189" s="84"/>
      <c r="Z1189" s="84"/>
      <c r="AA1189" s="84"/>
      <c r="AB1189" s="84"/>
      <c r="AC1189" s="84"/>
      <c r="AD1189" s="84"/>
      <c r="AE1189" s="84"/>
      <c r="AF1189" s="84"/>
      <c r="AG1189" s="84"/>
      <c r="AH1189" s="84"/>
      <c r="AI1189" s="84"/>
      <c r="AL1189" s="84"/>
      <c r="AM1189" s="84"/>
      <c r="AN1189" s="84"/>
      <c r="AO1189" s="84"/>
      <c r="AP1189" s="84"/>
      <c r="AQ1189" s="84"/>
      <c r="AR1189" s="84"/>
      <c r="AS1189" s="84"/>
      <c r="AT1189" s="84"/>
      <c r="AU1189" s="84"/>
      <c r="AV1189" s="84"/>
      <c r="AY1189" s="84"/>
      <c r="AZ1189" s="84"/>
      <c r="BA1189" s="84"/>
      <c r="BB1189" s="84"/>
      <c r="BC1189" s="84"/>
      <c r="BD1189" s="84"/>
      <c r="BE1189" s="84"/>
      <c r="BF1189" s="942"/>
      <c r="BG1189" s="942"/>
      <c r="BH1189" s="942"/>
      <c r="BI1189" s="84"/>
      <c r="BL1189" s="84"/>
      <c r="BM1189" s="84"/>
      <c r="BN1189" s="84"/>
      <c r="BO1189" s="84"/>
      <c r="BP1189" s="84"/>
      <c r="BQ1189" s="84"/>
      <c r="BR1189" s="84"/>
      <c r="BS1189" s="942"/>
      <c r="BT1189" s="942"/>
      <c r="BU1189" s="942"/>
      <c r="BV1189" s="84"/>
    </row>
    <row r="1190" spans="14:74" ht="14.25">
      <c r="N1190" s="84"/>
      <c r="O1190" s="84"/>
      <c r="P1190" s="84"/>
      <c r="Q1190" s="84"/>
      <c r="R1190" s="84"/>
      <c r="S1190" s="84"/>
      <c r="T1190" s="84"/>
      <c r="U1190" s="84"/>
      <c r="V1190" s="84"/>
      <c r="W1190" s="84"/>
      <c r="Y1190" s="84"/>
      <c r="Z1190" s="84"/>
      <c r="AA1190" s="84"/>
      <c r="AB1190" s="84"/>
      <c r="AC1190" s="84"/>
      <c r="AD1190" s="84"/>
      <c r="AE1190" s="84"/>
      <c r="AF1190" s="84"/>
      <c r="AG1190" s="84"/>
      <c r="AH1190" s="84"/>
      <c r="AI1190" s="84"/>
      <c r="AL1190" s="84"/>
      <c r="AM1190" s="84"/>
      <c r="AN1190" s="84"/>
      <c r="AO1190" s="84"/>
      <c r="AP1190" s="84"/>
      <c r="AQ1190" s="84"/>
      <c r="AR1190" s="84"/>
      <c r="AS1190" s="84"/>
      <c r="AT1190" s="84"/>
      <c r="AU1190" s="84"/>
      <c r="AV1190" s="84"/>
      <c r="AY1190" s="84"/>
      <c r="AZ1190" s="84"/>
      <c r="BA1190" s="84"/>
      <c r="BB1190" s="84"/>
      <c r="BC1190" s="84"/>
      <c r="BD1190" s="84"/>
      <c r="BE1190" s="84"/>
      <c r="BF1190" s="942"/>
      <c r="BG1190" s="942"/>
      <c r="BH1190" s="942"/>
      <c r="BI1190" s="84"/>
      <c r="BL1190" s="84"/>
      <c r="BM1190" s="84"/>
      <c r="BN1190" s="84"/>
      <c r="BO1190" s="84"/>
      <c r="BP1190" s="84"/>
      <c r="BQ1190" s="84"/>
      <c r="BR1190" s="84"/>
      <c r="BS1190" s="942"/>
      <c r="BT1190" s="942"/>
      <c r="BU1190" s="942"/>
      <c r="BV1190" s="84"/>
    </row>
    <row r="1191" spans="14:74" ht="14.25">
      <c r="N1191" s="84"/>
      <c r="O1191" s="84"/>
      <c r="P1191" s="84"/>
      <c r="Q1191" s="84"/>
      <c r="R1191" s="84"/>
      <c r="S1191" s="84"/>
      <c r="T1191" s="84"/>
      <c r="U1191" s="84"/>
      <c r="V1191" s="84"/>
      <c r="W1191" s="84"/>
      <c r="Y1191" s="84"/>
      <c r="Z1191" s="84"/>
      <c r="AA1191" s="84"/>
      <c r="AB1191" s="84"/>
      <c r="AC1191" s="84"/>
      <c r="AD1191" s="84"/>
      <c r="AE1191" s="84"/>
      <c r="AF1191" s="84"/>
      <c r="AG1191" s="84"/>
      <c r="AH1191" s="84"/>
      <c r="AI1191" s="84"/>
      <c r="AL1191" s="84"/>
      <c r="AM1191" s="84"/>
      <c r="AN1191" s="84"/>
      <c r="AO1191" s="84"/>
      <c r="AP1191" s="84"/>
      <c r="AQ1191" s="84"/>
      <c r="AR1191" s="84"/>
      <c r="AS1191" s="84"/>
      <c r="AT1191" s="84"/>
      <c r="AU1191" s="84"/>
      <c r="AV1191" s="84"/>
      <c r="AY1191" s="84"/>
      <c r="AZ1191" s="84"/>
      <c r="BA1191" s="84"/>
      <c r="BB1191" s="84"/>
      <c r="BC1191" s="84"/>
      <c r="BD1191" s="84"/>
      <c r="BE1191" s="84"/>
      <c r="BF1191" s="942"/>
      <c r="BG1191" s="942"/>
      <c r="BH1191" s="942"/>
      <c r="BI1191" s="84"/>
      <c r="BL1191" s="84"/>
      <c r="BM1191" s="84"/>
      <c r="BN1191" s="84"/>
      <c r="BO1191" s="84"/>
      <c r="BP1191" s="84"/>
      <c r="BQ1191" s="84"/>
      <c r="BR1191" s="84"/>
      <c r="BS1191" s="942"/>
      <c r="BT1191" s="942"/>
      <c r="BU1191" s="942"/>
      <c r="BV1191" s="84"/>
    </row>
    <row r="1192" spans="14:74" ht="14.25">
      <c r="N1192" s="84"/>
      <c r="O1192" s="84"/>
      <c r="P1192" s="84"/>
      <c r="Q1192" s="84"/>
      <c r="R1192" s="84"/>
      <c r="S1192" s="84"/>
      <c r="T1192" s="84"/>
      <c r="U1192" s="84"/>
      <c r="V1192" s="84"/>
      <c r="W1192" s="84"/>
      <c r="Y1192" s="84"/>
      <c r="Z1192" s="84"/>
      <c r="AA1192" s="84"/>
      <c r="AB1192" s="84"/>
      <c r="AC1192" s="84"/>
      <c r="AD1192" s="84"/>
      <c r="AE1192" s="84"/>
      <c r="AF1192" s="84"/>
      <c r="AG1192" s="84"/>
      <c r="AH1192" s="84"/>
      <c r="AI1192" s="84"/>
      <c r="AL1192" s="84"/>
      <c r="AM1192" s="84"/>
      <c r="AN1192" s="84"/>
      <c r="AO1192" s="84"/>
      <c r="AP1192" s="84"/>
      <c r="AQ1192" s="84"/>
      <c r="AR1192" s="84"/>
      <c r="AS1192" s="84"/>
      <c r="AT1192" s="84"/>
      <c r="AU1192" s="84"/>
      <c r="AV1192" s="84"/>
      <c r="AY1192" s="84"/>
      <c r="AZ1192" s="84"/>
      <c r="BA1192" s="84"/>
      <c r="BB1192" s="84"/>
      <c r="BC1192" s="84"/>
      <c r="BD1192" s="84"/>
      <c r="BE1192" s="84"/>
      <c r="BF1192" s="942"/>
      <c r="BG1192" s="942"/>
      <c r="BH1192" s="942"/>
      <c r="BI1192" s="84"/>
      <c r="BL1192" s="84"/>
      <c r="BM1192" s="84"/>
      <c r="BN1192" s="84"/>
      <c r="BO1192" s="84"/>
      <c r="BP1192" s="84"/>
      <c r="BQ1192" s="84"/>
      <c r="BR1192" s="84"/>
      <c r="BS1192" s="942"/>
      <c r="BT1192" s="942"/>
      <c r="BU1192" s="942"/>
      <c r="BV1192" s="84"/>
    </row>
    <row r="1193" spans="14:74" ht="14.25">
      <c r="N1193" s="84"/>
      <c r="O1193" s="84"/>
      <c r="P1193" s="84"/>
      <c r="Q1193" s="84"/>
      <c r="R1193" s="84"/>
      <c r="S1193" s="84"/>
      <c r="T1193" s="84"/>
      <c r="U1193" s="84"/>
      <c r="V1193" s="84"/>
      <c r="W1193" s="84"/>
      <c r="Y1193" s="84"/>
      <c r="Z1193" s="84"/>
      <c r="AA1193" s="84"/>
      <c r="AB1193" s="84"/>
      <c r="AC1193" s="84"/>
      <c r="AD1193" s="84"/>
      <c r="AE1193" s="84"/>
      <c r="AF1193" s="84"/>
      <c r="AG1193" s="84"/>
      <c r="AH1193" s="84"/>
      <c r="AI1193" s="84"/>
      <c r="AL1193" s="84"/>
      <c r="AM1193" s="84"/>
      <c r="AN1193" s="84"/>
      <c r="AO1193" s="84"/>
      <c r="AP1193" s="84"/>
      <c r="AQ1193" s="84"/>
      <c r="AR1193" s="84"/>
      <c r="AS1193" s="84"/>
      <c r="AT1193" s="84"/>
      <c r="AU1193" s="84"/>
      <c r="AV1193" s="84"/>
      <c r="AY1193" s="84"/>
      <c r="AZ1193" s="84"/>
      <c r="BA1193" s="84"/>
      <c r="BB1193" s="84"/>
      <c r="BC1193" s="84"/>
      <c r="BD1193" s="84"/>
      <c r="BE1193" s="84"/>
      <c r="BF1193" s="942"/>
      <c r="BG1193" s="942"/>
      <c r="BH1193" s="942"/>
      <c r="BI1193" s="84"/>
      <c r="BL1193" s="84"/>
      <c r="BM1193" s="84"/>
      <c r="BN1193" s="84"/>
      <c r="BO1193" s="84"/>
      <c r="BP1193" s="84"/>
      <c r="BQ1193" s="84"/>
      <c r="BR1193" s="84"/>
      <c r="BS1193" s="942"/>
      <c r="BT1193" s="942"/>
      <c r="BU1193" s="942"/>
      <c r="BV1193" s="84"/>
    </row>
    <row r="1194" spans="14:74" ht="14.25">
      <c r="N1194" s="84"/>
      <c r="O1194" s="84"/>
      <c r="P1194" s="84"/>
      <c r="Q1194" s="84"/>
      <c r="R1194" s="84"/>
      <c r="S1194" s="84"/>
      <c r="T1194" s="84"/>
      <c r="U1194" s="84"/>
      <c r="V1194" s="84"/>
      <c r="W1194" s="84"/>
      <c r="Y1194" s="84"/>
      <c r="Z1194" s="84"/>
      <c r="AA1194" s="84"/>
      <c r="AB1194" s="84"/>
      <c r="AC1194" s="84"/>
      <c r="AD1194" s="84"/>
      <c r="AE1194" s="84"/>
      <c r="AF1194" s="84"/>
      <c r="AG1194" s="84"/>
      <c r="AH1194" s="84"/>
      <c r="AI1194" s="84"/>
      <c r="AL1194" s="84"/>
      <c r="AM1194" s="84"/>
      <c r="AN1194" s="84"/>
      <c r="AO1194" s="84"/>
      <c r="AP1194" s="84"/>
      <c r="AQ1194" s="84"/>
      <c r="AR1194" s="84"/>
      <c r="AS1194" s="84"/>
      <c r="AT1194" s="84"/>
      <c r="AU1194" s="84"/>
      <c r="AV1194" s="84"/>
      <c r="AY1194" s="84"/>
      <c r="AZ1194" s="84"/>
      <c r="BA1194" s="84"/>
      <c r="BB1194" s="84"/>
      <c r="BC1194" s="84"/>
      <c r="BD1194" s="84"/>
      <c r="BE1194" s="84"/>
      <c r="BF1194" s="942"/>
      <c r="BG1194" s="942"/>
      <c r="BH1194" s="942"/>
      <c r="BI1194" s="84"/>
      <c r="BL1194" s="84"/>
      <c r="BM1194" s="84"/>
      <c r="BN1194" s="84"/>
      <c r="BO1194" s="84"/>
      <c r="BP1194" s="84"/>
      <c r="BQ1194" s="84"/>
      <c r="BR1194" s="84"/>
      <c r="BS1194" s="942"/>
      <c r="BT1194" s="942"/>
      <c r="BU1194" s="942"/>
      <c r="BV1194" s="84"/>
    </row>
    <row r="1195" spans="14:74" ht="14.25">
      <c r="N1195" s="84"/>
      <c r="O1195" s="84"/>
      <c r="P1195" s="84"/>
      <c r="Q1195" s="84"/>
      <c r="R1195" s="84"/>
      <c r="S1195" s="84"/>
      <c r="T1195" s="84"/>
      <c r="U1195" s="84"/>
      <c r="V1195" s="84"/>
      <c r="W1195" s="84"/>
      <c r="Y1195" s="84"/>
      <c r="Z1195" s="84"/>
      <c r="AA1195" s="84"/>
      <c r="AB1195" s="84"/>
      <c r="AC1195" s="84"/>
      <c r="AD1195" s="84"/>
      <c r="AE1195" s="84"/>
      <c r="AF1195" s="84"/>
      <c r="AG1195" s="84"/>
      <c r="AH1195" s="84"/>
      <c r="AI1195" s="84"/>
      <c r="AL1195" s="84"/>
      <c r="AM1195" s="84"/>
      <c r="AN1195" s="84"/>
      <c r="AO1195" s="84"/>
      <c r="AP1195" s="84"/>
      <c r="AQ1195" s="84"/>
      <c r="AR1195" s="84"/>
      <c r="AS1195" s="84"/>
      <c r="AT1195" s="84"/>
      <c r="AU1195" s="84"/>
      <c r="AV1195" s="84"/>
      <c r="AY1195" s="84"/>
      <c r="AZ1195" s="84"/>
      <c r="BA1195" s="84"/>
      <c r="BB1195" s="84"/>
      <c r="BC1195" s="84"/>
      <c r="BD1195" s="84"/>
      <c r="BE1195" s="84"/>
      <c r="BF1195" s="942"/>
      <c r="BG1195" s="942"/>
      <c r="BH1195" s="942"/>
      <c r="BI1195" s="84"/>
      <c r="BL1195" s="84"/>
      <c r="BM1195" s="84"/>
      <c r="BN1195" s="84"/>
      <c r="BO1195" s="84"/>
      <c r="BP1195" s="84"/>
      <c r="BQ1195" s="84"/>
      <c r="BR1195" s="84"/>
      <c r="BS1195" s="942"/>
      <c r="BT1195" s="942"/>
      <c r="BU1195" s="942"/>
      <c r="BV1195" s="84"/>
    </row>
    <row r="1196" spans="14:74" ht="14.25">
      <c r="N1196" s="84"/>
      <c r="O1196" s="84"/>
      <c r="P1196" s="84"/>
      <c r="Q1196" s="84"/>
      <c r="R1196" s="84"/>
      <c r="S1196" s="84"/>
      <c r="T1196" s="84"/>
      <c r="U1196" s="84"/>
      <c r="V1196" s="84"/>
      <c r="W1196" s="84"/>
      <c r="Y1196" s="84"/>
      <c r="Z1196" s="84"/>
      <c r="AA1196" s="84"/>
      <c r="AB1196" s="84"/>
      <c r="AC1196" s="84"/>
      <c r="AD1196" s="84"/>
      <c r="AE1196" s="84"/>
      <c r="AF1196" s="84"/>
      <c r="AG1196" s="84"/>
      <c r="AH1196" s="84"/>
      <c r="AI1196" s="84"/>
      <c r="AL1196" s="84"/>
      <c r="AM1196" s="84"/>
      <c r="AN1196" s="84"/>
      <c r="AO1196" s="84"/>
      <c r="AP1196" s="84"/>
      <c r="AQ1196" s="84"/>
      <c r="AR1196" s="84"/>
      <c r="AS1196" s="84"/>
      <c r="AT1196" s="84"/>
      <c r="AU1196" s="84"/>
      <c r="AV1196" s="84"/>
      <c r="AY1196" s="84"/>
      <c r="AZ1196" s="84"/>
      <c r="BA1196" s="84"/>
      <c r="BB1196" s="84"/>
      <c r="BC1196" s="84"/>
      <c r="BD1196" s="84"/>
      <c r="BE1196" s="84"/>
      <c r="BF1196" s="942"/>
      <c r="BG1196" s="942"/>
      <c r="BH1196" s="942"/>
      <c r="BI1196" s="84"/>
      <c r="BL1196" s="84"/>
      <c r="BM1196" s="84"/>
      <c r="BN1196" s="84"/>
      <c r="BO1196" s="84"/>
      <c r="BP1196" s="84"/>
      <c r="BQ1196" s="84"/>
      <c r="BR1196" s="84"/>
      <c r="BS1196" s="942"/>
      <c r="BT1196" s="942"/>
      <c r="BU1196" s="942"/>
      <c r="BV1196" s="84"/>
    </row>
    <row r="1197" spans="14:74" ht="14.25">
      <c r="N1197" s="84"/>
      <c r="O1197" s="84"/>
      <c r="P1197" s="84"/>
      <c r="Q1197" s="84"/>
      <c r="R1197" s="84"/>
      <c r="S1197" s="84"/>
      <c r="T1197" s="84"/>
      <c r="U1197" s="84"/>
      <c r="V1197" s="84"/>
      <c r="W1197" s="84"/>
      <c r="Y1197" s="84"/>
      <c r="Z1197" s="84"/>
      <c r="AA1197" s="84"/>
      <c r="AB1197" s="84"/>
      <c r="AC1197" s="84"/>
      <c r="AD1197" s="84"/>
      <c r="AE1197" s="84"/>
      <c r="AF1197" s="84"/>
      <c r="AG1197" s="84"/>
      <c r="AH1197" s="84"/>
      <c r="AI1197" s="84"/>
      <c r="AL1197" s="84"/>
      <c r="AM1197" s="84"/>
      <c r="AN1197" s="84"/>
      <c r="AO1197" s="84"/>
      <c r="AP1197" s="84"/>
      <c r="AQ1197" s="84"/>
      <c r="AR1197" s="84"/>
      <c r="AS1197" s="84"/>
      <c r="AT1197" s="84"/>
      <c r="AU1197" s="84"/>
      <c r="AV1197" s="84"/>
      <c r="AY1197" s="84"/>
      <c r="AZ1197" s="84"/>
      <c r="BA1197" s="84"/>
      <c r="BB1197" s="84"/>
      <c r="BC1197" s="84"/>
      <c r="BD1197" s="84"/>
      <c r="BE1197" s="84"/>
      <c r="BF1197" s="942"/>
      <c r="BG1197" s="942"/>
      <c r="BH1197" s="942"/>
      <c r="BI1197" s="84"/>
      <c r="BL1197" s="84"/>
      <c r="BM1197" s="84"/>
      <c r="BN1197" s="84"/>
      <c r="BO1197" s="84"/>
      <c r="BP1197" s="84"/>
      <c r="BQ1197" s="84"/>
      <c r="BR1197" s="84"/>
      <c r="BS1197" s="942"/>
      <c r="BT1197" s="942"/>
      <c r="BU1197" s="942"/>
      <c r="BV1197" s="84"/>
    </row>
    <row r="1198" spans="14:74" ht="14.25">
      <c r="N1198" s="84"/>
      <c r="O1198" s="84"/>
      <c r="P1198" s="84"/>
      <c r="Q1198" s="84"/>
      <c r="R1198" s="84"/>
      <c r="S1198" s="84"/>
      <c r="T1198" s="84"/>
      <c r="U1198" s="84"/>
      <c r="V1198" s="84"/>
      <c r="W1198" s="84"/>
      <c r="Y1198" s="84"/>
      <c r="Z1198" s="84"/>
      <c r="AA1198" s="84"/>
      <c r="AB1198" s="84"/>
      <c r="AC1198" s="84"/>
      <c r="AD1198" s="84"/>
      <c r="AE1198" s="84"/>
      <c r="AF1198" s="84"/>
      <c r="AG1198" s="84"/>
      <c r="AH1198" s="84"/>
      <c r="AI1198" s="84"/>
      <c r="AL1198" s="84"/>
      <c r="AM1198" s="84"/>
      <c r="AN1198" s="84"/>
      <c r="AO1198" s="84"/>
      <c r="AP1198" s="84"/>
      <c r="AQ1198" s="84"/>
      <c r="AR1198" s="84"/>
      <c r="AS1198" s="84"/>
      <c r="AT1198" s="84"/>
      <c r="AU1198" s="84"/>
      <c r="AV1198" s="84"/>
      <c r="AY1198" s="84"/>
      <c r="AZ1198" s="84"/>
      <c r="BA1198" s="84"/>
      <c r="BB1198" s="84"/>
      <c r="BC1198" s="84"/>
      <c r="BD1198" s="84"/>
      <c r="BE1198" s="84"/>
      <c r="BF1198" s="942"/>
      <c r="BG1198" s="942"/>
      <c r="BH1198" s="942"/>
      <c r="BI1198" s="84"/>
      <c r="BL1198" s="84"/>
      <c r="BM1198" s="84"/>
      <c r="BN1198" s="84"/>
      <c r="BO1198" s="84"/>
      <c r="BP1198" s="84"/>
      <c r="BQ1198" s="84"/>
      <c r="BR1198" s="84"/>
      <c r="BS1198" s="942"/>
      <c r="BT1198" s="942"/>
      <c r="BU1198" s="942"/>
      <c r="BV1198" s="84"/>
    </row>
    <row r="1199" spans="14:74" ht="14.25">
      <c r="N1199" s="84"/>
      <c r="O1199" s="84"/>
      <c r="P1199" s="84"/>
      <c r="Q1199" s="84"/>
      <c r="R1199" s="84"/>
      <c r="S1199" s="84"/>
      <c r="T1199" s="84"/>
      <c r="U1199" s="84"/>
      <c r="V1199" s="84"/>
      <c r="W1199" s="84"/>
      <c r="Y1199" s="84"/>
      <c r="Z1199" s="84"/>
      <c r="AA1199" s="84"/>
      <c r="AB1199" s="84"/>
      <c r="AC1199" s="84"/>
      <c r="AD1199" s="84"/>
      <c r="AE1199" s="84"/>
      <c r="AF1199" s="84"/>
      <c r="AG1199" s="84"/>
      <c r="AH1199" s="84"/>
      <c r="AI1199" s="84"/>
      <c r="AL1199" s="84"/>
      <c r="AM1199" s="84"/>
      <c r="AN1199" s="84"/>
      <c r="AO1199" s="84"/>
      <c r="AP1199" s="84"/>
      <c r="AQ1199" s="84"/>
      <c r="AR1199" s="84"/>
      <c r="AS1199" s="84"/>
      <c r="AT1199" s="84"/>
      <c r="AU1199" s="84"/>
      <c r="AV1199" s="84"/>
      <c r="AY1199" s="84"/>
      <c r="AZ1199" s="84"/>
      <c r="BA1199" s="84"/>
      <c r="BB1199" s="84"/>
      <c r="BC1199" s="84"/>
      <c r="BD1199" s="84"/>
      <c r="BE1199" s="84"/>
      <c r="BF1199" s="942"/>
      <c r="BG1199" s="942"/>
      <c r="BH1199" s="942"/>
      <c r="BI1199" s="84"/>
      <c r="BL1199" s="84"/>
      <c r="BM1199" s="84"/>
      <c r="BN1199" s="84"/>
      <c r="BO1199" s="84"/>
      <c r="BP1199" s="84"/>
      <c r="BQ1199" s="84"/>
      <c r="BR1199" s="84"/>
      <c r="BS1199" s="942"/>
      <c r="BT1199" s="942"/>
      <c r="BU1199" s="942"/>
      <c r="BV1199" s="84"/>
    </row>
    <row r="1200" spans="14:74" ht="14.25">
      <c r="N1200" s="84"/>
      <c r="O1200" s="84"/>
      <c r="P1200" s="84"/>
      <c r="Q1200" s="84"/>
      <c r="R1200" s="84"/>
      <c r="S1200" s="84"/>
      <c r="T1200" s="84"/>
      <c r="U1200" s="84"/>
      <c r="V1200" s="84"/>
      <c r="W1200" s="84"/>
      <c r="Y1200" s="84"/>
      <c r="Z1200" s="84"/>
      <c r="AA1200" s="84"/>
      <c r="AB1200" s="84"/>
      <c r="AC1200" s="84"/>
      <c r="AD1200" s="84"/>
      <c r="AE1200" s="84"/>
      <c r="AF1200" s="84"/>
      <c r="AG1200" s="84"/>
      <c r="AH1200" s="84"/>
      <c r="AI1200" s="84"/>
      <c r="AL1200" s="84"/>
      <c r="AM1200" s="84"/>
      <c r="AN1200" s="84"/>
      <c r="AO1200" s="84"/>
      <c r="AP1200" s="84"/>
      <c r="AQ1200" s="84"/>
      <c r="AR1200" s="84"/>
      <c r="AS1200" s="84"/>
      <c r="AT1200" s="84"/>
      <c r="AU1200" s="84"/>
      <c r="AV1200" s="84"/>
      <c r="AY1200" s="84"/>
      <c r="AZ1200" s="84"/>
      <c r="BA1200" s="84"/>
      <c r="BB1200" s="84"/>
      <c r="BC1200" s="84"/>
      <c r="BD1200" s="84"/>
      <c r="BE1200" s="84"/>
      <c r="BF1200" s="942"/>
      <c r="BG1200" s="942"/>
      <c r="BH1200" s="942"/>
      <c r="BI1200" s="84"/>
      <c r="BL1200" s="84"/>
      <c r="BM1200" s="84"/>
      <c r="BN1200" s="84"/>
      <c r="BO1200" s="84"/>
      <c r="BP1200" s="84"/>
      <c r="BQ1200" s="84"/>
      <c r="BR1200" s="84"/>
      <c r="BS1200" s="942"/>
      <c r="BT1200" s="942"/>
      <c r="BU1200" s="942"/>
      <c r="BV1200" s="84"/>
    </row>
    <row r="1201" spans="14:74" ht="14.25">
      <c r="N1201" s="84"/>
      <c r="O1201" s="84"/>
      <c r="P1201" s="84"/>
      <c r="Q1201" s="84"/>
      <c r="R1201" s="84"/>
      <c r="S1201" s="84"/>
      <c r="T1201" s="84"/>
      <c r="U1201" s="84"/>
      <c r="V1201" s="84"/>
      <c r="W1201" s="84"/>
      <c r="Y1201" s="84"/>
      <c r="Z1201" s="84"/>
      <c r="AA1201" s="84"/>
      <c r="AB1201" s="84"/>
      <c r="AC1201" s="84"/>
      <c r="AD1201" s="84"/>
      <c r="AE1201" s="84"/>
      <c r="AF1201" s="84"/>
      <c r="AG1201" s="84"/>
      <c r="AH1201" s="84"/>
      <c r="AI1201" s="84"/>
      <c r="AL1201" s="84"/>
      <c r="AM1201" s="84"/>
      <c r="AN1201" s="84"/>
      <c r="AO1201" s="84"/>
      <c r="AP1201" s="84"/>
      <c r="AQ1201" s="84"/>
      <c r="AR1201" s="84"/>
      <c r="AS1201" s="84"/>
      <c r="AT1201" s="84"/>
      <c r="AU1201" s="84"/>
      <c r="AV1201" s="84"/>
      <c r="AY1201" s="84"/>
      <c r="AZ1201" s="84"/>
      <c r="BA1201" s="84"/>
      <c r="BB1201" s="84"/>
      <c r="BC1201" s="84"/>
      <c r="BD1201" s="84"/>
      <c r="BE1201" s="84"/>
      <c r="BF1201" s="942"/>
      <c r="BG1201" s="942"/>
      <c r="BH1201" s="942"/>
      <c r="BI1201" s="84"/>
      <c r="BL1201" s="84"/>
      <c r="BM1201" s="84"/>
      <c r="BN1201" s="84"/>
      <c r="BO1201" s="84"/>
      <c r="BP1201" s="84"/>
      <c r="BQ1201" s="84"/>
      <c r="BR1201" s="84"/>
      <c r="BS1201" s="942"/>
      <c r="BT1201" s="942"/>
      <c r="BU1201" s="942"/>
      <c r="BV1201" s="84"/>
    </row>
    <row r="1202" spans="14:74" ht="14.25">
      <c r="N1202" s="84"/>
      <c r="O1202" s="84"/>
      <c r="P1202" s="84"/>
      <c r="Q1202" s="84"/>
      <c r="R1202" s="84"/>
      <c r="S1202" s="84"/>
      <c r="T1202" s="84"/>
      <c r="U1202" s="84"/>
      <c r="V1202" s="84"/>
      <c r="W1202" s="84"/>
      <c r="Y1202" s="84"/>
      <c r="Z1202" s="84"/>
      <c r="AA1202" s="84"/>
      <c r="AB1202" s="84"/>
      <c r="AC1202" s="84"/>
      <c r="AD1202" s="84"/>
      <c r="AE1202" s="84"/>
      <c r="AF1202" s="84"/>
      <c r="AG1202" s="84"/>
      <c r="AH1202" s="84"/>
      <c r="AI1202" s="84"/>
      <c r="AL1202" s="84"/>
      <c r="AM1202" s="84"/>
      <c r="AN1202" s="84"/>
      <c r="AO1202" s="84"/>
      <c r="AP1202" s="84"/>
      <c r="AQ1202" s="84"/>
      <c r="AR1202" s="84"/>
      <c r="AS1202" s="84"/>
      <c r="AT1202" s="84"/>
      <c r="AU1202" s="84"/>
      <c r="AV1202" s="84"/>
      <c r="AY1202" s="84"/>
      <c r="AZ1202" s="84"/>
      <c r="BA1202" s="84"/>
      <c r="BB1202" s="84"/>
      <c r="BC1202" s="84"/>
      <c r="BD1202" s="84"/>
      <c r="BE1202" s="84"/>
      <c r="BF1202" s="942"/>
      <c r="BG1202" s="942"/>
      <c r="BH1202" s="942"/>
      <c r="BI1202" s="84"/>
      <c r="BL1202" s="84"/>
      <c r="BM1202" s="84"/>
      <c r="BN1202" s="84"/>
      <c r="BO1202" s="84"/>
      <c r="BP1202" s="84"/>
      <c r="BQ1202" s="84"/>
      <c r="BR1202" s="84"/>
      <c r="BS1202" s="942"/>
      <c r="BT1202" s="942"/>
      <c r="BU1202" s="942"/>
      <c r="BV1202" s="84"/>
    </row>
    <row r="1203" spans="14:74" ht="14.25">
      <c r="N1203" s="84"/>
      <c r="O1203" s="84"/>
      <c r="P1203" s="84"/>
      <c r="Q1203" s="84"/>
      <c r="R1203" s="84"/>
      <c r="S1203" s="84"/>
      <c r="T1203" s="84"/>
      <c r="U1203" s="84"/>
      <c r="V1203" s="84"/>
      <c r="W1203" s="84"/>
      <c r="Y1203" s="84"/>
      <c r="Z1203" s="84"/>
      <c r="AA1203" s="84"/>
      <c r="AB1203" s="84"/>
      <c r="AC1203" s="84"/>
      <c r="AD1203" s="84"/>
      <c r="AE1203" s="84"/>
      <c r="AF1203" s="84"/>
      <c r="AG1203" s="84"/>
      <c r="AH1203" s="84"/>
      <c r="AI1203" s="84"/>
      <c r="AL1203" s="84"/>
      <c r="AM1203" s="84"/>
      <c r="AN1203" s="84"/>
      <c r="AO1203" s="84"/>
      <c r="AP1203" s="84"/>
      <c r="AQ1203" s="84"/>
      <c r="AR1203" s="84"/>
      <c r="AS1203" s="84"/>
      <c r="AT1203" s="84"/>
      <c r="AU1203" s="84"/>
      <c r="AV1203" s="84"/>
      <c r="AY1203" s="84"/>
      <c r="AZ1203" s="84"/>
      <c r="BA1203" s="84"/>
      <c r="BB1203" s="84"/>
      <c r="BC1203" s="84"/>
      <c r="BD1203" s="84"/>
      <c r="BE1203" s="84"/>
      <c r="BF1203" s="942"/>
      <c r="BG1203" s="942"/>
      <c r="BH1203" s="942"/>
      <c r="BI1203" s="84"/>
      <c r="BL1203" s="84"/>
      <c r="BM1203" s="84"/>
      <c r="BN1203" s="84"/>
      <c r="BO1203" s="84"/>
      <c r="BP1203" s="84"/>
      <c r="BQ1203" s="84"/>
      <c r="BR1203" s="84"/>
      <c r="BS1203" s="942"/>
      <c r="BT1203" s="942"/>
      <c r="BU1203" s="942"/>
      <c r="BV1203" s="84"/>
    </row>
    <row r="1204" spans="14:74" ht="14.25">
      <c r="N1204" s="84"/>
      <c r="O1204" s="84"/>
      <c r="P1204" s="84"/>
      <c r="Q1204" s="84"/>
      <c r="R1204" s="84"/>
      <c r="S1204" s="84"/>
      <c r="T1204" s="84"/>
      <c r="U1204" s="84"/>
      <c r="V1204" s="84"/>
      <c r="W1204" s="84"/>
      <c r="Y1204" s="84"/>
      <c r="Z1204" s="84"/>
      <c r="AA1204" s="84"/>
      <c r="AB1204" s="84"/>
      <c r="AC1204" s="84"/>
      <c r="AD1204" s="84"/>
      <c r="AE1204" s="84"/>
      <c r="AF1204" s="84"/>
      <c r="AG1204" s="84"/>
      <c r="AH1204" s="84"/>
      <c r="AI1204" s="84"/>
      <c r="AL1204" s="84"/>
      <c r="AM1204" s="84"/>
      <c r="AN1204" s="84"/>
      <c r="AO1204" s="84"/>
      <c r="AP1204" s="84"/>
      <c r="AQ1204" s="84"/>
      <c r="AR1204" s="84"/>
      <c r="AS1204" s="84"/>
      <c r="AT1204" s="84"/>
      <c r="AU1204" s="84"/>
      <c r="AV1204" s="84"/>
      <c r="AY1204" s="84"/>
      <c r="AZ1204" s="84"/>
      <c r="BA1204" s="84"/>
      <c r="BB1204" s="84"/>
      <c r="BC1204" s="84"/>
      <c r="BD1204" s="84"/>
      <c r="BE1204" s="84"/>
      <c r="BF1204" s="942"/>
      <c r="BG1204" s="942"/>
      <c r="BH1204" s="942"/>
      <c r="BI1204" s="84"/>
      <c r="BL1204" s="84"/>
      <c r="BM1204" s="84"/>
      <c r="BN1204" s="84"/>
      <c r="BO1204" s="84"/>
      <c r="BP1204" s="84"/>
      <c r="BQ1204" s="84"/>
      <c r="BR1204" s="84"/>
      <c r="BS1204" s="942"/>
      <c r="BT1204" s="942"/>
      <c r="BU1204" s="942"/>
      <c r="BV1204" s="84"/>
    </row>
    <row r="1205" spans="14:74" ht="14.25">
      <c r="N1205" s="84"/>
      <c r="O1205" s="84"/>
      <c r="P1205" s="84"/>
      <c r="Q1205" s="84"/>
      <c r="R1205" s="84"/>
      <c r="S1205" s="84"/>
      <c r="T1205" s="84"/>
      <c r="U1205" s="84"/>
      <c r="V1205" s="84"/>
      <c r="W1205" s="84"/>
      <c r="Y1205" s="84"/>
      <c r="Z1205" s="84"/>
      <c r="AA1205" s="84"/>
      <c r="AB1205" s="84"/>
      <c r="AC1205" s="84"/>
      <c r="AD1205" s="84"/>
      <c r="AE1205" s="84"/>
      <c r="AF1205" s="84"/>
      <c r="AG1205" s="84"/>
      <c r="AH1205" s="84"/>
      <c r="AI1205" s="84"/>
      <c r="AL1205" s="84"/>
      <c r="AM1205" s="84"/>
      <c r="AN1205" s="84"/>
      <c r="AO1205" s="84"/>
      <c r="AP1205" s="84"/>
      <c r="AQ1205" s="84"/>
      <c r="AR1205" s="84"/>
      <c r="AS1205" s="84"/>
      <c r="AT1205" s="84"/>
      <c r="AU1205" s="84"/>
      <c r="AV1205" s="84"/>
      <c r="AY1205" s="84"/>
      <c r="AZ1205" s="84"/>
      <c r="BA1205" s="84"/>
      <c r="BB1205" s="84"/>
      <c r="BC1205" s="84"/>
      <c r="BD1205" s="84"/>
      <c r="BE1205" s="84"/>
      <c r="BF1205" s="942"/>
      <c r="BG1205" s="942"/>
      <c r="BH1205" s="942"/>
      <c r="BI1205" s="84"/>
      <c r="BL1205" s="84"/>
      <c r="BM1205" s="84"/>
      <c r="BN1205" s="84"/>
      <c r="BO1205" s="84"/>
      <c r="BP1205" s="84"/>
      <c r="BQ1205" s="84"/>
      <c r="BR1205" s="84"/>
      <c r="BS1205" s="942"/>
      <c r="BT1205" s="942"/>
      <c r="BU1205" s="942"/>
      <c r="BV1205" s="84"/>
    </row>
    <row r="1206" spans="14:74" ht="14.25">
      <c r="N1206" s="84"/>
      <c r="O1206" s="84"/>
      <c r="P1206" s="84"/>
      <c r="Q1206" s="84"/>
      <c r="R1206" s="84"/>
      <c r="S1206" s="84"/>
      <c r="T1206" s="84"/>
      <c r="U1206" s="84"/>
      <c r="V1206" s="84"/>
      <c r="W1206" s="84"/>
      <c r="Y1206" s="84"/>
      <c r="Z1206" s="84"/>
      <c r="AA1206" s="84"/>
      <c r="AB1206" s="84"/>
      <c r="AC1206" s="84"/>
      <c r="AD1206" s="84"/>
      <c r="AE1206" s="84"/>
      <c r="AF1206" s="84"/>
      <c r="AG1206" s="84"/>
      <c r="AH1206" s="84"/>
      <c r="AI1206" s="84"/>
      <c r="AL1206" s="84"/>
      <c r="AM1206" s="84"/>
      <c r="AN1206" s="84"/>
      <c r="AO1206" s="84"/>
      <c r="AP1206" s="84"/>
      <c r="AQ1206" s="84"/>
      <c r="AR1206" s="84"/>
      <c r="AS1206" s="84"/>
      <c r="AT1206" s="84"/>
      <c r="AU1206" s="84"/>
      <c r="AV1206" s="84"/>
      <c r="AY1206" s="84"/>
      <c r="AZ1206" s="84"/>
      <c r="BA1206" s="84"/>
      <c r="BB1206" s="84"/>
      <c r="BC1206" s="84"/>
      <c r="BD1206" s="84"/>
      <c r="BE1206" s="84"/>
      <c r="BF1206" s="942"/>
      <c r="BG1206" s="942"/>
      <c r="BH1206" s="942"/>
      <c r="BI1206" s="84"/>
      <c r="BL1206" s="84"/>
      <c r="BM1206" s="84"/>
      <c r="BN1206" s="84"/>
      <c r="BO1206" s="84"/>
      <c r="BP1206" s="84"/>
      <c r="BQ1206" s="84"/>
      <c r="BR1206" s="84"/>
      <c r="BS1206" s="942"/>
      <c r="BT1206" s="942"/>
      <c r="BU1206" s="942"/>
      <c r="BV1206" s="84"/>
    </row>
    <row r="1207" spans="14:74" ht="14.25">
      <c r="N1207" s="84"/>
      <c r="O1207" s="84"/>
      <c r="P1207" s="84"/>
      <c r="Q1207" s="84"/>
      <c r="R1207" s="84"/>
      <c r="S1207" s="84"/>
      <c r="T1207" s="84"/>
      <c r="U1207" s="84"/>
      <c r="V1207" s="84"/>
      <c r="W1207" s="84"/>
      <c r="Y1207" s="84"/>
      <c r="Z1207" s="84"/>
      <c r="AA1207" s="84"/>
      <c r="AB1207" s="84"/>
      <c r="AC1207" s="84"/>
      <c r="AD1207" s="84"/>
      <c r="AE1207" s="84"/>
      <c r="AF1207" s="84"/>
      <c r="AG1207" s="84"/>
      <c r="AH1207" s="84"/>
      <c r="AI1207" s="84"/>
      <c r="AL1207" s="84"/>
      <c r="AM1207" s="84"/>
      <c r="AN1207" s="84"/>
      <c r="AO1207" s="84"/>
      <c r="AP1207" s="84"/>
      <c r="AQ1207" s="84"/>
      <c r="AR1207" s="84"/>
      <c r="AS1207" s="84"/>
      <c r="AT1207" s="84"/>
      <c r="AU1207" s="84"/>
      <c r="AV1207" s="84"/>
      <c r="AY1207" s="84"/>
      <c r="AZ1207" s="84"/>
      <c r="BA1207" s="84"/>
      <c r="BB1207" s="84"/>
      <c r="BC1207" s="84"/>
      <c r="BD1207" s="84"/>
      <c r="BE1207" s="84"/>
      <c r="BF1207" s="942"/>
      <c r="BG1207" s="942"/>
      <c r="BH1207" s="942"/>
      <c r="BI1207" s="84"/>
      <c r="BL1207" s="84"/>
      <c r="BM1207" s="84"/>
      <c r="BN1207" s="84"/>
      <c r="BO1207" s="84"/>
      <c r="BP1207" s="84"/>
      <c r="BQ1207" s="84"/>
      <c r="BR1207" s="84"/>
      <c r="BS1207" s="942"/>
      <c r="BT1207" s="942"/>
      <c r="BU1207" s="942"/>
      <c r="BV1207" s="84"/>
    </row>
    <row r="1208" spans="14:74" ht="14.25">
      <c r="N1208" s="84"/>
      <c r="O1208" s="84"/>
      <c r="P1208" s="84"/>
      <c r="Q1208" s="84"/>
      <c r="R1208" s="84"/>
      <c r="S1208" s="84"/>
      <c r="T1208" s="84"/>
      <c r="U1208" s="84"/>
      <c r="V1208" s="84"/>
      <c r="W1208" s="84"/>
      <c r="Y1208" s="84"/>
      <c r="Z1208" s="84"/>
      <c r="AA1208" s="84"/>
      <c r="AB1208" s="84"/>
      <c r="AC1208" s="84"/>
      <c r="AD1208" s="84"/>
      <c r="AE1208" s="84"/>
      <c r="AF1208" s="84"/>
      <c r="AG1208" s="84"/>
      <c r="AH1208" s="84"/>
      <c r="AI1208" s="84"/>
      <c r="AL1208" s="84"/>
      <c r="AM1208" s="84"/>
      <c r="AN1208" s="84"/>
      <c r="AO1208" s="84"/>
      <c r="AP1208" s="84"/>
      <c r="AQ1208" s="84"/>
      <c r="AR1208" s="84"/>
      <c r="AS1208" s="84"/>
      <c r="AT1208" s="84"/>
      <c r="AU1208" s="84"/>
      <c r="AV1208" s="84"/>
      <c r="AY1208" s="84"/>
      <c r="AZ1208" s="84"/>
      <c r="BA1208" s="84"/>
      <c r="BB1208" s="84"/>
      <c r="BC1208" s="84"/>
      <c r="BD1208" s="84"/>
      <c r="BE1208" s="84"/>
      <c r="BF1208" s="942"/>
      <c r="BG1208" s="942"/>
      <c r="BH1208" s="942"/>
      <c r="BI1208" s="84"/>
      <c r="BL1208" s="84"/>
      <c r="BM1208" s="84"/>
      <c r="BN1208" s="84"/>
      <c r="BO1208" s="84"/>
      <c r="BP1208" s="84"/>
      <c r="BQ1208" s="84"/>
      <c r="BR1208" s="84"/>
      <c r="BS1208" s="942"/>
      <c r="BT1208" s="942"/>
      <c r="BU1208" s="942"/>
      <c r="BV1208" s="84"/>
    </row>
    <row r="1209" spans="14:74" ht="14.25">
      <c r="N1209" s="84"/>
      <c r="O1209" s="84"/>
      <c r="P1209" s="84"/>
      <c r="Q1209" s="84"/>
      <c r="R1209" s="84"/>
      <c r="S1209" s="84"/>
      <c r="T1209" s="84"/>
      <c r="U1209" s="84"/>
      <c r="V1209" s="84"/>
      <c r="W1209" s="84"/>
      <c r="Y1209" s="84"/>
      <c r="Z1209" s="84"/>
      <c r="AA1209" s="84"/>
      <c r="AB1209" s="84"/>
      <c r="AC1209" s="84"/>
      <c r="AD1209" s="84"/>
      <c r="AE1209" s="84"/>
      <c r="AF1209" s="84"/>
      <c r="AG1209" s="84"/>
      <c r="AH1209" s="84"/>
      <c r="AI1209" s="84"/>
      <c r="AL1209" s="84"/>
      <c r="AM1209" s="84"/>
      <c r="AN1209" s="84"/>
      <c r="AO1209" s="84"/>
      <c r="AP1209" s="84"/>
      <c r="AQ1209" s="84"/>
      <c r="AR1209" s="84"/>
      <c r="AS1209" s="84"/>
      <c r="AT1209" s="84"/>
      <c r="AU1209" s="84"/>
      <c r="AV1209" s="84"/>
      <c r="AY1209" s="84"/>
      <c r="AZ1209" s="84"/>
      <c r="BA1209" s="84"/>
      <c r="BB1209" s="84"/>
      <c r="BC1209" s="84"/>
      <c r="BD1209" s="84"/>
      <c r="BE1209" s="84"/>
      <c r="BF1209" s="942"/>
      <c r="BG1209" s="942"/>
      <c r="BH1209" s="942"/>
      <c r="BI1209" s="84"/>
      <c r="BL1209" s="84"/>
      <c r="BM1209" s="84"/>
      <c r="BN1209" s="84"/>
      <c r="BO1209" s="84"/>
      <c r="BP1209" s="84"/>
      <c r="BQ1209" s="84"/>
      <c r="BR1209" s="84"/>
      <c r="BS1209" s="942"/>
      <c r="BT1209" s="942"/>
      <c r="BU1209" s="942"/>
      <c r="BV1209" s="84"/>
    </row>
    <row r="1210" spans="14:74" ht="14.25">
      <c r="N1210" s="84"/>
      <c r="O1210" s="84"/>
      <c r="P1210" s="84"/>
      <c r="Q1210" s="84"/>
      <c r="R1210" s="84"/>
      <c r="S1210" s="84"/>
      <c r="T1210" s="84"/>
      <c r="U1210" s="84"/>
      <c r="V1210" s="84"/>
      <c r="W1210" s="84"/>
      <c r="Y1210" s="84"/>
      <c r="Z1210" s="84"/>
      <c r="AA1210" s="84"/>
      <c r="AB1210" s="84"/>
      <c r="AC1210" s="84"/>
      <c r="AD1210" s="84"/>
      <c r="AE1210" s="84"/>
      <c r="AF1210" s="84"/>
      <c r="AG1210" s="84"/>
      <c r="AH1210" s="84"/>
      <c r="AI1210" s="84"/>
      <c r="AL1210" s="84"/>
      <c r="AM1210" s="84"/>
      <c r="AN1210" s="84"/>
      <c r="AO1210" s="84"/>
      <c r="AP1210" s="84"/>
      <c r="AQ1210" s="84"/>
      <c r="AR1210" s="84"/>
      <c r="AS1210" s="84"/>
      <c r="AT1210" s="84"/>
      <c r="AU1210" s="84"/>
      <c r="AV1210" s="84"/>
      <c r="AY1210" s="84"/>
      <c r="AZ1210" s="84"/>
      <c r="BA1210" s="84"/>
      <c r="BB1210" s="84"/>
      <c r="BC1210" s="84"/>
      <c r="BD1210" s="84"/>
      <c r="BE1210" s="84"/>
      <c r="BF1210" s="942"/>
      <c r="BG1210" s="942"/>
      <c r="BH1210" s="942"/>
      <c r="BI1210" s="84"/>
      <c r="BL1210" s="84"/>
      <c r="BM1210" s="84"/>
      <c r="BN1210" s="84"/>
      <c r="BO1210" s="84"/>
      <c r="BP1210" s="84"/>
      <c r="BQ1210" s="84"/>
      <c r="BR1210" s="84"/>
      <c r="BS1210" s="942"/>
      <c r="BT1210" s="942"/>
      <c r="BU1210" s="942"/>
      <c r="BV1210" s="84"/>
    </row>
    <row r="1211" spans="14:74" ht="14.25">
      <c r="N1211" s="84"/>
      <c r="O1211" s="84"/>
      <c r="P1211" s="84"/>
      <c r="Q1211" s="84"/>
      <c r="R1211" s="84"/>
      <c r="S1211" s="84"/>
      <c r="T1211" s="84"/>
      <c r="U1211" s="84"/>
      <c r="V1211" s="84"/>
      <c r="W1211" s="84"/>
      <c r="Y1211" s="84"/>
      <c r="Z1211" s="84"/>
      <c r="AA1211" s="84"/>
      <c r="AB1211" s="84"/>
      <c r="AC1211" s="84"/>
      <c r="AD1211" s="84"/>
      <c r="AE1211" s="84"/>
      <c r="AF1211" s="84"/>
      <c r="AG1211" s="84"/>
      <c r="AH1211" s="84"/>
      <c r="AI1211" s="84"/>
      <c r="AL1211" s="84"/>
      <c r="AM1211" s="84"/>
      <c r="AN1211" s="84"/>
      <c r="AO1211" s="84"/>
      <c r="AP1211" s="84"/>
      <c r="AQ1211" s="84"/>
      <c r="AR1211" s="84"/>
      <c r="AS1211" s="84"/>
      <c r="AT1211" s="84"/>
      <c r="AU1211" s="84"/>
      <c r="AV1211" s="84"/>
      <c r="AY1211" s="84"/>
      <c r="AZ1211" s="84"/>
      <c r="BA1211" s="84"/>
      <c r="BB1211" s="84"/>
      <c r="BC1211" s="84"/>
      <c r="BD1211" s="84"/>
      <c r="BE1211" s="84"/>
      <c r="BF1211" s="942"/>
      <c r="BG1211" s="942"/>
      <c r="BH1211" s="942"/>
      <c r="BI1211" s="84"/>
      <c r="BL1211" s="84"/>
      <c r="BM1211" s="84"/>
      <c r="BN1211" s="84"/>
      <c r="BO1211" s="84"/>
      <c r="BP1211" s="84"/>
      <c r="BQ1211" s="84"/>
      <c r="BR1211" s="84"/>
      <c r="BS1211" s="942"/>
      <c r="BT1211" s="942"/>
      <c r="BU1211" s="942"/>
      <c r="BV1211" s="84"/>
    </row>
    <row r="1212" spans="14:74" ht="14.25">
      <c r="N1212" s="84"/>
      <c r="O1212" s="84"/>
      <c r="P1212" s="84"/>
      <c r="Q1212" s="84"/>
      <c r="R1212" s="84"/>
      <c r="S1212" s="84"/>
      <c r="T1212" s="84"/>
      <c r="U1212" s="84"/>
      <c r="V1212" s="84"/>
      <c r="W1212" s="84"/>
      <c r="Y1212" s="84"/>
      <c r="Z1212" s="84"/>
      <c r="AA1212" s="84"/>
      <c r="AB1212" s="84"/>
      <c r="AC1212" s="84"/>
      <c r="AD1212" s="84"/>
      <c r="AE1212" s="84"/>
      <c r="AF1212" s="84"/>
      <c r="AG1212" s="84"/>
      <c r="AH1212" s="84"/>
      <c r="AI1212" s="84"/>
      <c r="AL1212" s="84"/>
      <c r="AM1212" s="84"/>
      <c r="AN1212" s="84"/>
      <c r="AO1212" s="84"/>
      <c r="AP1212" s="84"/>
      <c r="AQ1212" s="84"/>
      <c r="AR1212" s="84"/>
      <c r="AS1212" s="84"/>
      <c r="AT1212" s="84"/>
      <c r="AU1212" s="84"/>
      <c r="AV1212" s="84"/>
      <c r="AY1212" s="84"/>
      <c r="AZ1212" s="84"/>
      <c r="BA1212" s="84"/>
      <c r="BB1212" s="84"/>
      <c r="BC1212" s="84"/>
      <c r="BD1212" s="84"/>
      <c r="BE1212" s="84"/>
      <c r="BF1212" s="942"/>
      <c r="BG1212" s="942"/>
      <c r="BH1212" s="942"/>
      <c r="BI1212" s="84"/>
      <c r="BL1212" s="84"/>
      <c r="BM1212" s="84"/>
      <c r="BN1212" s="84"/>
      <c r="BO1212" s="84"/>
      <c r="BP1212" s="84"/>
      <c r="BQ1212" s="84"/>
      <c r="BR1212" s="84"/>
      <c r="BS1212" s="942"/>
      <c r="BT1212" s="942"/>
      <c r="BU1212" s="942"/>
      <c r="BV1212" s="84"/>
    </row>
    <row r="1213" spans="14:74" ht="14.25">
      <c r="N1213" s="84"/>
      <c r="O1213" s="84"/>
      <c r="P1213" s="84"/>
      <c r="Q1213" s="84"/>
      <c r="R1213" s="84"/>
      <c r="S1213" s="84"/>
      <c r="T1213" s="84"/>
      <c r="U1213" s="84"/>
      <c r="V1213" s="84"/>
      <c r="W1213" s="84"/>
      <c r="Y1213" s="84"/>
      <c r="Z1213" s="84"/>
      <c r="AA1213" s="84"/>
      <c r="AB1213" s="84"/>
      <c r="AC1213" s="84"/>
      <c r="AD1213" s="84"/>
      <c r="AE1213" s="84"/>
      <c r="AF1213" s="84"/>
      <c r="AG1213" s="84"/>
      <c r="AH1213" s="84"/>
      <c r="AI1213" s="84"/>
      <c r="AL1213" s="84"/>
      <c r="AM1213" s="84"/>
      <c r="AN1213" s="84"/>
      <c r="AO1213" s="84"/>
      <c r="AP1213" s="84"/>
      <c r="AQ1213" s="84"/>
      <c r="AR1213" s="84"/>
      <c r="AS1213" s="84"/>
      <c r="AT1213" s="84"/>
      <c r="AU1213" s="84"/>
      <c r="AV1213" s="84"/>
      <c r="AY1213" s="84"/>
      <c r="AZ1213" s="84"/>
      <c r="BA1213" s="84"/>
      <c r="BB1213" s="84"/>
      <c r="BC1213" s="84"/>
      <c r="BD1213" s="84"/>
      <c r="BE1213" s="84"/>
      <c r="BF1213" s="942"/>
      <c r="BG1213" s="942"/>
      <c r="BH1213" s="942"/>
      <c r="BI1213" s="84"/>
      <c r="BL1213" s="84"/>
      <c r="BM1213" s="84"/>
      <c r="BN1213" s="84"/>
      <c r="BO1213" s="84"/>
      <c r="BP1213" s="84"/>
      <c r="BQ1213" s="84"/>
      <c r="BR1213" s="84"/>
      <c r="BS1213" s="942"/>
      <c r="BT1213" s="942"/>
      <c r="BU1213" s="942"/>
      <c r="BV1213" s="84"/>
    </row>
    <row r="1214" spans="14:74" ht="14.25">
      <c r="N1214" s="84"/>
      <c r="O1214" s="84"/>
      <c r="P1214" s="84"/>
      <c r="Q1214" s="84"/>
      <c r="R1214" s="84"/>
      <c r="S1214" s="84"/>
      <c r="T1214" s="84"/>
      <c r="U1214" s="84"/>
      <c r="V1214" s="84"/>
      <c r="W1214" s="84"/>
      <c r="Y1214" s="84"/>
      <c r="Z1214" s="84"/>
      <c r="AA1214" s="84"/>
      <c r="AB1214" s="84"/>
      <c r="AC1214" s="84"/>
      <c r="AD1214" s="84"/>
      <c r="AE1214" s="84"/>
      <c r="AF1214" s="84"/>
      <c r="AG1214" s="84"/>
      <c r="AH1214" s="84"/>
      <c r="AI1214" s="84"/>
      <c r="AL1214" s="84"/>
      <c r="AM1214" s="84"/>
      <c r="AN1214" s="84"/>
      <c r="AO1214" s="84"/>
      <c r="AP1214" s="84"/>
      <c r="AQ1214" s="84"/>
      <c r="AR1214" s="84"/>
      <c r="AS1214" s="84"/>
      <c r="AT1214" s="84"/>
      <c r="AU1214" s="84"/>
      <c r="AV1214" s="84"/>
      <c r="AY1214" s="84"/>
      <c r="AZ1214" s="84"/>
      <c r="BA1214" s="84"/>
      <c r="BB1214" s="84"/>
      <c r="BC1214" s="84"/>
      <c r="BD1214" s="84"/>
      <c r="BE1214" s="84"/>
      <c r="BF1214" s="942"/>
      <c r="BG1214" s="942"/>
      <c r="BH1214" s="942"/>
      <c r="BI1214" s="84"/>
      <c r="BL1214" s="84"/>
      <c r="BM1214" s="84"/>
      <c r="BN1214" s="84"/>
      <c r="BO1214" s="84"/>
      <c r="BP1214" s="84"/>
      <c r="BQ1214" s="84"/>
      <c r="BR1214" s="84"/>
      <c r="BS1214" s="942"/>
      <c r="BT1214" s="942"/>
      <c r="BU1214" s="942"/>
      <c r="BV1214" s="84"/>
    </row>
    <row r="1215" spans="14:74" ht="14.25">
      <c r="N1215" s="84"/>
      <c r="O1215" s="84"/>
      <c r="P1215" s="84"/>
      <c r="Q1215" s="84"/>
      <c r="R1215" s="84"/>
      <c r="S1215" s="84"/>
      <c r="T1215" s="84"/>
      <c r="U1215" s="84"/>
      <c r="V1215" s="84"/>
      <c r="W1215" s="84"/>
      <c r="Y1215" s="84"/>
      <c r="Z1215" s="84"/>
      <c r="AA1215" s="84"/>
      <c r="AB1215" s="84"/>
      <c r="AC1215" s="84"/>
      <c r="AD1215" s="84"/>
      <c r="AE1215" s="84"/>
      <c r="AF1215" s="84"/>
      <c r="AG1215" s="84"/>
      <c r="AH1215" s="84"/>
      <c r="AI1215" s="84"/>
      <c r="AL1215" s="84"/>
      <c r="AM1215" s="84"/>
      <c r="AN1215" s="84"/>
      <c r="AO1215" s="84"/>
      <c r="AP1215" s="84"/>
      <c r="AQ1215" s="84"/>
      <c r="AR1215" s="84"/>
      <c r="AS1215" s="84"/>
      <c r="AT1215" s="84"/>
      <c r="AU1215" s="84"/>
      <c r="AV1215" s="84"/>
      <c r="AY1215" s="84"/>
      <c r="AZ1215" s="84"/>
      <c r="BA1215" s="84"/>
      <c r="BB1215" s="84"/>
      <c r="BC1215" s="84"/>
      <c r="BD1215" s="84"/>
      <c r="BE1215" s="84"/>
      <c r="BF1215" s="942"/>
      <c r="BG1215" s="942"/>
      <c r="BH1215" s="942"/>
      <c r="BI1215" s="84"/>
      <c r="BL1215" s="84"/>
      <c r="BM1215" s="84"/>
      <c r="BN1215" s="84"/>
      <c r="BO1215" s="84"/>
      <c r="BP1215" s="84"/>
      <c r="BQ1215" s="84"/>
      <c r="BR1215" s="84"/>
      <c r="BS1215" s="942"/>
      <c r="BT1215" s="942"/>
      <c r="BU1215" s="942"/>
      <c r="BV1215" s="84"/>
    </row>
    <row r="1216" spans="14:74" ht="14.25">
      <c r="N1216" s="84"/>
      <c r="O1216" s="84"/>
      <c r="P1216" s="84"/>
      <c r="Q1216" s="84"/>
      <c r="R1216" s="84"/>
      <c r="S1216" s="84"/>
      <c r="T1216" s="84"/>
      <c r="U1216" s="84"/>
      <c r="V1216" s="84"/>
      <c r="W1216" s="84"/>
      <c r="Y1216" s="84"/>
      <c r="Z1216" s="84"/>
      <c r="AA1216" s="84"/>
      <c r="AB1216" s="84"/>
      <c r="AC1216" s="84"/>
      <c r="AD1216" s="84"/>
      <c r="AE1216" s="84"/>
      <c r="AF1216" s="84"/>
      <c r="AG1216" s="84"/>
      <c r="AH1216" s="84"/>
      <c r="AI1216" s="84"/>
      <c r="AL1216" s="84"/>
      <c r="AM1216" s="84"/>
      <c r="AN1216" s="84"/>
      <c r="AO1216" s="84"/>
      <c r="AP1216" s="84"/>
      <c r="AQ1216" s="84"/>
      <c r="AR1216" s="84"/>
      <c r="AS1216" s="84"/>
      <c r="AT1216" s="84"/>
      <c r="AU1216" s="84"/>
      <c r="AV1216" s="84"/>
      <c r="AY1216" s="84"/>
      <c r="AZ1216" s="84"/>
      <c r="BA1216" s="84"/>
      <c r="BB1216" s="84"/>
      <c r="BC1216" s="84"/>
      <c r="BD1216" s="84"/>
      <c r="BE1216" s="84"/>
      <c r="BF1216" s="942"/>
      <c r="BG1216" s="942"/>
      <c r="BH1216" s="942"/>
      <c r="BI1216" s="84"/>
      <c r="BL1216" s="84"/>
      <c r="BM1216" s="84"/>
      <c r="BN1216" s="84"/>
      <c r="BO1216" s="84"/>
      <c r="BP1216" s="84"/>
      <c r="BQ1216" s="84"/>
      <c r="BR1216" s="84"/>
      <c r="BS1216" s="942"/>
      <c r="BT1216" s="942"/>
      <c r="BU1216" s="942"/>
      <c r="BV1216" s="84"/>
    </row>
    <row r="1217" spans="14:74" ht="14.25">
      <c r="N1217" s="84"/>
      <c r="O1217" s="84"/>
      <c r="P1217" s="84"/>
      <c r="Q1217" s="84"/>
      <c r="R1217" s="84"/>
      <c r="S1217" s="84"/>
      <c r="T1217" s="84"/>
      <c r="U1217" s="84"/>
      <c r="V1217" s="84"/>
      <c r="W1217" s="84"/>
      <c r="Y1217" s="84"/>
      <c r="Z1217" s="84"/>
      <c r="AA1217" s="84"/>
      <c r="AB1217" s="84"/>
      <c r="AC1217" s="84"/>
      <c r="AD1217" s="84"/>
      <c r="AE1217" s="84"/>
      <c r="AF1217" s="84"/>
      <c r="AG1217" s="84"/>
      <c r="AH1217" s="84"/>
      <c r="AI1217" s="84"/>
      <c r="AL1217" s="84"/>
      <c r="AM1217" s="84"/>
      <c r="AN1217" s="84"/>
      <c r="AO1217" s="84"/>
      <c r="AP1217" s="84"/>
      <c r="AQ1217" s="84"/>
      <c r="AR1217" s="84"/>
      <c r="AS1217" s="84"/>
      <c r="AT1217" s="84"/>
      <c r="AU1217" s="84"/>
      <c r="AV1217" s="84"/>
      <c r="AY1217" s="84"/>
      <c r="AZ1217" s="84"/>
      <c r="BA1217" s="84"/>
      <c r="BB1217" s="84"/>
      <c r="BC1217" s="84"/>
      <c r="BD1217" s="84"/>
      <c r="BE1217" s="84"/>
      <c r="BF1217" s="942"/>
      <c r="BG1217" s="942"/>
      <c r="BH1217" s="942"/>
      <c r="BI1217" s="84"/>
      <c r="BL1217" s="84"/>
      <c r="BM1217" s="84"/>
      <c r="BN1217" s="84"/>
      <c r="BO1217" s="84"/>
      <c r="BP1217" s="84"/>
      <c r="BQ1217" s="84"/>
      <c r="BR1217" s="84"/>
      <c r="BS1217" s="942"/>
      <c r="BT1217" s="942"/>
      <c r="BU1217" s="942"/>
      <c r="BV1217" s="84"/>
    </row>
    <row r="1218" spans="14:74" ht="14.25">
      <c r="N1218" s="84"/>
      <c r="O1218" s="84"/>
      <c r="P1218" s="84"/>
      <c r="Q1218" s="84"/>
      <c r="R1218" s="84"/>
      <c r="S1218" s="84"/>
      <c r="T1218" s="84"/>
      <c r="U1218" s="84"/>
      <c r="V1218" s="84"/>
      <c r="W1218" s="84"/>
      <c r="Y1218" s="84"/>
      <c r="Z1218" s="84"/>
      <c r="AA1218" s="84"/>
      <c r="AB1218" s="84"/>
      <c r="AC1218" s="84"/>
      <c r="AD1218" s="84"/>
      <c r="AE1218" s="84"/>
      <c r="AF1218" s="84"/>
      <c r="AG1218" s="84"/>
      <c r="AH1218" s="84"/>
      <c r="AI1218" s="84"/>
      <c r="AL1218" s="84"/>
      <c r="AM1218" s="84"/>
      <c r="AN1218" s="84"/>
      <c r="AO1218" s="84"/>
      <c r="AP1218" s="84"/>
      <c r="AQ1218" s="84"/>
      <c r="AR1218" s="84"/>
      <c r="AS1218" s="84"/>
      <c r="AT1218" s="84"/>
      <c r="AU1218" s="84"/>
      <c r="AV1218" s="84"/>
      <c r="AY1218" s="84"/>
      <c r="AZ1218" s="84"/>
      <c r="BA1218" s="84"/>
      <c r="BB1218" s="84"/>
      <c r="BC1218" s="84"/>
      <c r="BD1218" s="84"/>
      <c r="BE1218" s="84"/>
      <c r="BF1218" s="942"/>
      <c r="BG1218" s="942"/>
      <c r="BH1218" s="942"/>
      <c r="BI1218" s="84"/>
      <c r="BL1218" s="84"/>
      <c r="BM1218" s="84"/>
      <c r="BN1218" s="84"/>
      <c r="BO1218" s="84"/>
      <c r="BP1218" s="84"/>
      <c r="BQ1218" s="84"/>
      <c r="BR1218" s="84"/>
      <c r="BS1218" s="942"/>
      <c r="BT1218" s="942"/>
      <c r="BU1218" s="942"/>
      <c r="BV1218" s="84"/>
    </row>
    <row r="1219" spans="14:74" ht="14.25">
      <c r="N1219" s="84"/>
      <c r="O1219" s="84"/>
      <c r="P1219" s="84"/>
      <c r="Q1219" s="84"/>
      <c r="R1219" s="84"/>
      <c r="S1219" s="84"/>
      <c r="T1219" s="84"/>
      <c r="U1219" s="84"/>
      <c r="V1219" s="84"/>
      <c r="W1219" s="84"/>
      <c r="Y1219" s="84"/>
      <c r="Z1219" s="84"/>
      <c r="AA1219" s="84"/>
      <c r="AB1219" s="84"/>
      <c r="AC1219" s="84"/>
      <c r="AD1219" s="84"/>
      <c r="AE1219" s="84"/>
      <c r="AF1219" s="84"/>
      <c r="AG1219" s="84"/>
      <c r="AH1219" s="84"/>
      <c r="AI1219" s="84"/>
      <c r="AL1219" s="84"/>
      <c r="AM1219" s="84"/>
      <c r="AN1219" s="84"/>
      <c r="AO1219" s="84"/>
      <c r="AP1219" s="84"/>
      <c r="AQ1219" s="84"/>
      <c r="AR1219" s="84"/>
      <c r="AS1219" s="84"/>
      <c r="AT1219" s="84"/>
      <c r="AU1219" s="84"/>
      <c r="AV1219" s="84"/>
      <c r="AY1219" s="84"/>
      <c r="AZ1219" s="84"/>
      <c r="BA1219" s="84"/>
      <c r="BB1219" s="84"/>
      <c r="BC1219" s="84"/>
      <c r="BD1219" s="84"/>
      <c r="BE1219" s="84"/>
      <c r="BF1219" s="942"/>
      <c r="BG1219" s="942"/>
      <c r="BH1219" s="942"/>
      <c r="BI1219" s="84"/>
      <c r="BL1219" s="84"/>
      <c r="BM1219" s="84"/>
      <c r="BN1219" s="84"/>
      <c r="BO1219" s="84"/>
      <c r="BP1219" s="84"/>
      <c r="BQ1219" s="84"/>
      <c r="BR1219" s="84"/>
      <c r="BS1219" s="942"/>
      <c r="BT1219" s="942"/>
      <c r="BU1219" s="942"/>
      <c r="BV1219" s="84"/>
    </row>
    <row r="1220" spans="14:74" ht="14.25">
      <c r="N1220" s="84"/>
      <c r="O1220" s="84"/>
      <c r="P1220" s="84"/>
      <c r="Q1220" s="84"/>
      <c r="R1220" s="84"/>
      <c r="S1220" s="84"/>
      <c r="T1220" s="84"/>
      <c r="U1220" s="84"/>
      <c r="V1220" s="84"/>
      <c r="W1220" s="84"/>
      <c r="Y1220" s="84"/>
      <c r="Z1220" s="84"/>
      <c r="AA1220" s="84"/>
      <c r="AB1220" s="84"/>
      <c r="AC1220" s="84"/>
      <c r="AD1220" s="84"/>
      <c r="AE1220" s="84"/>
      <c r="AF1220" s="84"/>
      <c r="AG1220" s="84"/>
      <c r="AH1220" s="84"/>
      <c r="AI1220" s="84"/>
      <c r="AL1220" s="84"/>
      <c r="AM1220" s="84"/>
      <c r="AN1220" s="84"/>
      <c r="AO1220" s="84"/>
      <c r="AP1220" s="84"/>
      <c r="AQ1220" s="84"/>
      <c r="AR1220" s="84"/>
      <c r="AS1220" s="84"/>
      <c r="AT1220" s="84"/>
      <c r="AU1220" s="84"/>
      <c r="AV1220" s="84"/>
      <c r="AY1220" s="84"/>
      <c r="AZ1220" s="84"/>
      <c r="BA1220" s="84"/>
      <c r="BB1220" s="84"/>
      <c r="BC1220" s="84"/>
      <c r="BD1220" s="84"/>
      <c r="BE1220" s="84"/>
      <c r="BF1220" s="942"/>
      <c r="BG1220" s="942"/>
      <c r="BH1220" s="942"/>
      <c r="BI1220" s="84"/>
      <c r="BL1220" s="84"/>
      <c r="BM1220" s="84"/>
      <c r="BN1220" s="84"/>
      <c r="BO1220" s="84"/>
      <c r="BP1220" s="84"/>
      <c r="BQ1220" s="84"/>
      <c r="BR1220" s="84"/>
      <c r="BS1220" s="942"/>
      <c r="BT1220" s="942"/>
      <c r="BU1220" s="942"/>
      <c r="BV1220" s="84"/>
    </row>
    <row r="1221" spans="14:74" ht="14.25">
      <c r="N1221" s="84"/>
      <c r="O1221" s="84"/>
      <c r="P1221" s="84"/>
      <c r="Q1221" s="84"/>
      <c r="R1221" s="84"/>
      <c r="S1221" s="84"/>
      <c r="T1221" s="84"/>
      <c r="U1221" s="84"/>
      <c r="V1221" s="84"/>
      <c r="W1221" s="84"/>
      <c r="Y1221" s="84"/>
      <c r="Z1221" s="84"/>
      <c r="AA1221" s="84"/>
      <c r="AB1221" s="84"/>
      <c r="AC1221" s="84"/>
      <c r="AD1221" s="84"/>
      <c r="AE1221" s="84"/>
      <c r="AF1221" s="84"/>
      <c r="AG1221" s="84"/>
      <c r="AH1221" s="84"/>
      <c r="AI1221" s="84"/>
      <c r="AL1221" s="84"/>
      <c r="AM1221" s="84"/>
      <c r="AN1221" s="84"/>
      <c r="AO1221" s="84"/>
      <c r="AP1221" s="84"/>
      <c r="AQ1221" s="84"/>
      <c r="AR1221" s="84"/>
      <c r="AS1221" s="84"/>
      <c r="AT1221" s="84"/>
      <c r="AU1221" s="84"/>
      <c r="AV1221" s="84"/>
      <c r="AY1221" s="84"/>
      <c r="AZ1221" s="84"/>
      <c r="BA1221" s="84"/>
      <c r="BB1221" s="84"/>
      <c r="BC1221" s="84"/>
      <c r="BD1221" s="84"/>
      <c r="BE1221" s="84"/>
      <c r="BF1221" s="942"/>
      <c r="BG1221" s="942"/>
      <c r="BH1221" s="942"/>
      <c r="BI1221" s="84"/>
      <c r="BL1221" s="84"/>
      <c r="BM1221" s="84"/>
      <c r="BN1221" s="84"/>
      <c r="BO1221" s="84"/>
      <c r="BP1221" s="84"/>
      <c r="BQ1221" s="84"/>
      <c r="BR1221" s="84"/>
      <c r="BS1221" s="942"/>
      <c r="BT1221" s="942"/>
      <c r="BU1221" s="942"/>
      <c r="BV1221" s="84"/>
    </row>
    <row r="1222" spans="14:74" ht="14.25">
      <c r="N1222" s="84"/>
      <c r="O1222" s="84"/>
      <c r="P1222" s="84"/>
      <c r="Q1222" s="84"/>
      <c r="R1222" s="84"/>
      <c r="S1222" s="84"/>
      <c r="T1222" s="84"/>
      <c r="U1222" s="84"/>
      <c r="V1222" s="84"/>
      <c r="W1222" s="84"/>
      <c r="Y1222" s="84"/>
      <c r="Z1222" s="84"/>
      <c r="AA1222" s="84"/>
      <c r="AB1222" s="84"/>
      <c r="AC1222" s="84"/>
      <c r="AD1222" s="84"/>
      <c r="AE1222" s="84"/>
      <c r="AF1222" s="84"/>
      <c r="AG1222" s="84"/>
      <c r="AH1222" s="84"/>
      <c r="AI1222" s="84"/>
      <c r="AL1222" s="84"/>
      <c r="AM1222" s="84"/>
      <c r="AN1222" s="84"/>
      <c r="AO1222" s="84"/>
      <c r="AP1222" s="84"/>
      <c r="AQ1222" s="84"/>
      <c r="AR1222" s="84"/>
      <c r="AS1222" s="84"/>
      <c r="AT1222" s="84"/>
      <c r="AU1222" s="84"/>
      <c r="AV1222" s="84"/>
      <c r="AY1222" s="84"/>
      <c r="AZ1222" s="84"/>
      <c r="BA1222" s="84"/>
      <c r="BB1222" s="84"/>
      <c r="BC1222" s="84"/>
      <c r="BD1222" s="84"/>
      <c r="BE1222" s="84"/>
      <c r="BF1222" s="942"/>
      <c r="BG1222" s="942"/>
      <c r="BH1222" s="942"/>
      <c r="BI1222" s="84"/>
      <c r="BL1222" s="84"/>
      <c r="BM1222" s="84"/>
      <c r="BN1222" s="84"/>
      <c r="BO1222" s="84"/>
      <c r="BP1222" s="84"/>
      <c r="BQ1222" s="84"/>
      <c r="BR1222" s="84"/>
      <c r="BS1222" s="942"/>
      <c r="BT1222" s="942"/>
      <c r="BU1222" s="942"/>
      <c r="BV1222" s="84"/>
    </row>
    <row r="1223" spans="14:74" ht="14.25">
      <c r="N1223" s="84"/>
      <c r="O1223" s="84"/>
      <c r="P1223" s="84"/>
      <c r="Q1223" s="84"/>
      <c r="R1223" s="84"/>
      <c r="S1223" s="84"/>
      <c r="T1223" s="84"/>
      <c r="U1223" s="84"/>
      <c r="V1223" s="84"/>
      <c r="W1223" s="84"/>
      <c r="Y1223" s="84"/>
      <c r="Z1223" s="84"/>
      <c r="AA1223" s="84"/>
      <c r="AB1223" s="84"/>
      <c r="AC1223" s="84"/>
      <c r="AD1223" s="84"/>
      <c r="AE1223" s="84"/>
      <c r="AF1223" s="84"/>
      <c r="AG1223" s="84"/>
      <c r="AH1223" s="84"/>
      <c r="AI1223" s="84"/>
      <c r="AL1223" s="84"/>
      <c r="AM1223" s="84"/>
      <c r="AN1223" s="84"/>
      <c r="AO1223" s="84"/>
      <c r="AP1223" s="84"/>
      <c r="AQ1223" s="84"/>
      <c r="AR1223" s="84"/>
      <c r="AS1223" s="84"/>
      <c r="AT1223" s="84"/>
      <c r="AU1223" s="84"/>
      <c r="AV1223" s="84"/>
      <c r="AY1223" s="84"/>
      <c r="AZ1223" s="84"/>
      <c r="BA1223" s="84"/>
      <c r="BB1223" s="84"/>
      <c r="BC1223" s="84"/>
      <c r="BD1223" s="84"/>
      <c r="BE1223" s="84"/>
      <c r="BF1223" s="942"/>
      <c r="BG1223" s="942"/>
      <c r="BH1223" s="942"/>
      <c r="BI1223" s="84"/>
      <c r="BL1223" s="84"/>
      <c r="BM1223" s="84"/>
      <c r="BN1223" s="84"/>
      <c r="BO1223" s="84"/>
      <c r="BP1223" s="84"/>
      <c r="BQ1223" s="84"/>
      <c r="BR1223" s="84"/>
      <c r="BS1223" s="942"/>
      <c r="BT1223" s="942"/>
      <c r="BU1223" s="942"/>
      <c r="BV1223" s="84"/>
    </row>
    <row r="1224" spans="14:74" ht="14.25">
      <c r="N1224" s="84"/>
      <c r="O1224" s="84"/>
      <c r="P1224" s="84"/>
      <c r="Q1224" s="84"/>
      <c r="R1224" s="84"/>
      <c r="S1224" s="84"/>
      <c r="T1224" s="84"/>
      <c r="U1224" s="84"/>
      <c r="V1224" s="84"/>
      <c r="W1224" s="84"/>
      <c r="Y1224" s="84"/>
      <c r="Z1224" s="84"/>
      <c r="AA1224" s="84"/>
      <c r="AB1224" s="84"/>
      <c r="AC1224" s="84"/>
      <c r="AD1224" s="84"/>
      <c r="AE1224" s="84"/>
      <c r="AF1224" s="84"/>
      <c r="AG1224" s="84"/>
      <c r="AH1224" s="84"/>
      <c r="AI1224" s="84"/>
      <c r="AL1224" s="84"/>
      <c r="AM1224" s="84"/>
      <c r="AN1224" s="84"/>
      <c r="AO1224" s="84"/>
      <c r="AP1224" s="84"/>
      <c r="AQ1224" s="84"/>
      <c r="AR1224" s="84"/>
      <c r="AS1224" s="84"/>
      <c r="AT1224" s="84"/>
      <c r="AU1224" s="84"/>
      <c r="AV1224" s="84"/>
      <c r="AY1224" s="84"/>
      <c r="AZ1224" s="84"/>
      <c r="BA1224" s="84"/>
      <c r="BB1224" s="84"/>
      <c r="BC1224" s="84"/>
      <c r="BD1224" s="84"/>
      <c r="BE1224" s="84"/>
      <c r="BF1224" s="942"/>
      <c r="BG1224" s="942"/>
      <c r="BH1224" s="942"/>
      <c r="BI1224" s="84"/>
      <c r="BL1224" s="84"/>
      <c r="BM1224" s="84"/>
      <c r="BN1224" s="84"/>
      <c r="BO1224" s="84"/>
      <c r="BP1224" s="84"/>
      <c r="BQ1224" s="84"/>
      <c r="BR1224" s="84"/>
      <c r="BS1224" s="942"/>
      <c r="BT1224" s="942"/>
      <c r="BU1224" s="942"/>
      <c r="BV1224" s="84"/>
    </row>
    <row r="1225" spans="14:74" ht="14.25">
      <c r="N1225" s="84"/>
      <c r="O1225" s="84"/>
      <c r="P1225" s="84"/>
      <c r="Q1225" s="84"/>
      <c r="R1225" s="84"/>
      <c r="S1225" s="84"/>
      <c r="T1225" s="84"/>
      <c r="U1225" s="84"/>
      <c r="V1225" s="84"/>
      <c r="W1225" s="84"/>
      <c r="Y1225" s="84"/>
      <c r="Z1225" s="84"/>
      <c r="AA1225" s="84"/>
      <c r="AB1225" s="84"/>
      <c r="AC1225" s="84"/>
      <c r="AD1225" s="84"/>
      <c r="AE1225" s="84"/>
      <c r="AF1225" s="84"/>
      <c r="AG1225" s="84"/>
      <c r="AH1225" s="84"/>
      <c r="AI1225" s="84"/>
      <c r="AL1225" s="84"/>
      <c r="AM1225" s="84"/>
      <c r="AN1225" s="84"/>
      <c r="AO1225" s="84"/>
      <c r="AP1225" s="84"/>
      <c r="AQ1225" s="84"/>
      <c r="AR1225" s="84"/>
      <c r="AS1225" s="84"/>
      <c r="AT1225" s="84"/>
      <c r="AU1225" s="84"/>
      <c r="AV1225" s="84"/>
      <c r="AY1225" s="84"/>
      <c r="AZ1225" s="84"/>
      <c r="BA1225" s="84"/>
      <c r="BB1225" s="84"/>
      <c r="BC1225" s="84"/>
      <c r="BD1225" s="84"/>
      <c r="BE1225" s="84"/>
      <c r="BF1225" s="942"/>
      <c r="BG1225" s="942"/>
      <c r="BH1225" s="942"/>
      <c r="BI1225" s="84"/>
      <c r="BL1225" s="84"/>
      <c r="BM1225" s="84"/>
      <c r="BN1225" s="84"/>
      <c r="BO1225" s="84"/>
      <c r="BP1225" s="84"/>
      <c r="BQ1225" s="84"/>
      <c r="BR1225" s="84"/>
      <c r="BS1225" s="942"/>
      <c r="BT1225" s="942"/>
      <c r="BU1225" s="942"/>
      <c r="BV1225" s="84"/>
    </row>
    <row r="1226" spans="14:74" ht="14.25">
      <c r="N1226" s="84"/>
      <c r="O1226" s="84"/>
      <c r="P1226" s="84"/>
      <c r="Q1226" s="84"/>
      <c r="R1226" s="84"/>
      <c r="S1226" s="84"/>
      <c r="T1226" s="84"/>
      <c r="U1226" s="84"/>
      <c r="V1226" s="84"/>
      <c r="W1226" s="84"/>
      <c r="Y1226" s="84"/>
      <c r="Z1226" s="84"/>
      <c r="AA1226" s="84"/>
      <c r="AB1226" s="84"/>
      <c r="AC1226" s="84"/>
      <c r="AD1226" s="84"/>
      <c r="AE1226" s="84"/>
      <c r="AF1226" s="84"/>
      <c r="AG1226" s="84"/>
      <c r="AH1226" s="84"/>
      <c r="AI1226" s="84"/>
      <c r="AL1226" s="84"/>
      <c r="AM1226" s="84"/>
      <c r="AN1226" s="84"/>
      <c r="AO1226" s="84"/>
      <c r="AP1226" s="84"/>
      <c r="AQ1226" s="84"/>
      <c r="AR1226" s="84"/>
      <c r="AS1226" s="84"/>
      <c r="AT1226" s="84"/>
      <c r="AU1226" s="84"/>
      <c r="AV1226" s="84"/>
      <c r="AY1226" s="84"/>
      <c r="AZ1226" s="84"/>
      <c r="BA1226" s="84"/>
      <c r="BB1226" s="84"/>
      <c r="BC1226" s="84"/>
      <c r="BD1226" s="84"/>
      <c r="BE1226" s="84"/>
      <c r="BF1226" s="942"/>
      <c r="BG1226" s="942"/>
      <c r="BH1226" s="942"/>
      <c r="BI1226" s="84"/>
      <c r="BL1226" s="84"/>
      <c r="BM1226" s="84"/>
      <c r="BN1226" s="84"/>
      <c r="BO1226" s="84"/>
      <c r="BP1226" s="84"/>
      <c r="BQ1226" s="84"/>
      <c r="BR1226" s="84"/>
      <c r="BS1226" s="942"/>
      <c r="BT1226" s="942"/>
      <c r="BU1226" s="942"/>
      <c r="BV1226" s="84"/>
    </row>
    <row r="1227" spans="14:74" ht="14.25">
      <c r="N1227" s="84"/>
      <c r="O1227" s="84"/>
      <c r="P1227" s="84"/>
      <c r="Q1227" s="84"/>
      <c r="R1227" s="84"/>
      <c r="S1227" s="84"/>
      <c r="T1227" s="84"/>
      <c r="U1227" s="84"/>
      <c r="V1227" s="84"/>
      <c r="W1227" s="84"/>
      <c r="Y1227" s="84"/>
      <c r="Z1227" s="84"/>
      <c r="AA1227" s="84"/>
      <c r="AB1227" s="84"/>
      <c r="AC1227" s="84"/>
      <c r="AD1227" s="84"/>
      <c r="AE1227" s="84"/>
      <c r="AF1227" s="84"/>
      <c r="AG1227" s="84"/>
      <c r="AH1227" s="84"/>
      <c r="AI1227" s="84"/>
      <c r="AL1227" s="84"/>
      <c r="AM1227" s="84"/>
      <c r="AN1227" s="84"/>
      <c r="AO1227" s="84"/>
      <c r="AP1227" s="84"/>
      <c r="AQ1227" s="84"/>
      <c r="AR1227" s="84"/>
      <c r="AS1227" s="84"/>
      <c r="AT1227" s="84"/>
      <c r="AU1227" s="84"/>
      <c r="AV1227" s="84"/>
      <c r="AY1227" s="84"/>
      <c r="AZ1227" s="84"/>
      <c r="BA1227" s="84"/>
      <c r="BB1227" s="84"/>
      <c r="BC1227" s="84"/>
      <c r="BD1227" s="84"/>
      <c r="BE1227" s="84"/>
      <c r="BF1227" s="942"/>
      <c r="BG1227" s="942"/>
      <c r="BH1227" s="942"/>
      <c r="BI1227" s="84"/>
      <c r="BL1227" s="84"/>
      <c r="BM1227" s="84"/>
      <c r="BN1227" s="84"/>
      <c r="BO1227" s="84"/>
      <c r="BP1227" s="84"/>
      <c r="BQ1227" s="84"/>
      <c r="BR1227" s="84"/>
      <c r="BS1227" s="942"/>
      <c r="BT1227" s="942"/>
      <c r="BU1227" s="942"/>
      <c r="BV1227" s="84"/>
    </row>
    <row r="1228" spans="14:74" ht="14.25">
      <c r="N1228" s="84"/>
      <c r="O1228" s="84"/>
      <c r="P1228" s="84"/>
      <c r="Q1228" s="84"/>
      <c r="R1228" s="84"/>
      <c r="S1228" s="84"/>
      <c r="T1228" s="84"/>
      <c r="U1228" s="84"/>
      <c r="V1228" s="84"/>
      <c r="W1228" s="84"/>
      <c r="Y1228" s="84"/>
      <c r="Z1228" s="84"/>
      <c r="AA1228" s="84"/>
      <c r="AB1228" s="84"/>
      <c r="AC1228" s="84"/>
      <c r="AD1228" s="84"/>
      <c r="AE1228" s="84"/>
      <c r="AF1228" s="84"/>
      <c r="AG1228" s="84"/>
      <c r="AH1228" s="84"/>
      <c r="AI1228" s="84"/>
      <c r="AL1228" s="84"/>
      <c r="AM1228" s="84"/>
      <c r="AN1228" s="84"/>
      <c r="AO1228" s="84"/>
      <c r="AP1228" s="84"/>
      <c r="AQ1228" s="84"/>
      <c r="AR1228" s="84"/>
      <c r="AS1228" s="84"/>
      <c r="AT1228" s="84"/>
      <c r="AU1228" s="84"/>
      <c r="AV1228" s="84"/>
      <c r="AY1228" s="84"/>
      <c r="AZ1228" s="84"/>
      <c r="BA1228" s="84"/>
      <c r="BB1228" s="84"/>
      <c r="BC1228" s="84"/>
      <c r="BD1228" s="84"/>
      <c r="BE1228" s="84"/>
      <c r="BF1228" s="942"/>
      <c r="BG1228" s="942"/>
      <c r="BH1228" s="942"/>
      <c r="BI1228" s="84"/>
      <c r="BL1228" s="84"/>
      <c r="BM1228" s="84"/>
      <c r="BN1228" s="84"/>
      <c r="BO1228" s="84"/>
      <c r="BP1228" s="84"/>
      <c r="BQ1228" s="84"/>
      <c r="BR1228" s="84"/>
      <c r="BS1228" s="942"/>
      <c r="BT1228" s="942"/>
      <c r="BU1228" s="942"/>
      <c r="BV1228" s="84"/>
    </row>
    <row r="1229" spans="14:74" ht="14.25">
      <c r="N1229" s="84"/>
      <c r="O1229" s="84"/>
      <c r="P1229" s="84"/>
      <c r="Q1229" s="84"/>
      <c r="R1229" s="84"/>
      <c r="S1229" s="84"/>
      <c r="T1229" s="84"/>
      <c r="U1229" s="84"/>
      <c r="V1229" s="84"/>
      <c r="W1229" s="84"/>
      <c r="Y1229" s="84"/>
      <c r="Z1229" s="84"/>
      <c r="AA1229" s="84"/>
      <c r="AB1229" s="84"/>
      <c r="AC1229" s="84"/>
      <c r="AD1229" s="84"/>
      <c r="AE1229" s="84"/>
      <c r="AF1229" s="84"/>
      <c r="AG1229" s="84"/>
      <c r="AH1229" s="84"/>
      <c r="AI1229" s="84"/>
      <c r="AL1229" s="84"/>
      <c r="AM1229" s="84"/>
      <c r="AN1229" s="84"/>
      <c r="AO1229" s="84"/>
      <c r="AP1229" s="84"/>
      <c r="AQ1229" s="84"/>
      <c r="AR1229" s="84"/>
      <c r="AS1229" s="84"/>
      <c r="AT1229" s="84"/>
      <c r="AU1229" s="84"/>
      <c r="AV1229" s="84"/>
      <c r="AY1229" s="84"/>
      <c r="AZ1229" s="84"/>
      <c r="BA1229" s="84"/>
      <c r="BB1229" s="84"/>
      <c r="BC1229" s="84"/>
      <c r="BD1229" s="84"/>
      <c r="BE1229" s="84"/>
      <c r="BF1229" s="942"/>
      <c r="BG1229" s="942"/>
      <c r="BH1229" s="942"/>
      <c r="BI1229" s="84"/>
      <c r="BL1229" s="84"/>
      <c r="BM1229" s="84"/>
      <c r="BN1229" s="84"/>
      <c r="BO1229" s="84"/>
      <c r="BP1229" s="84"/>
      <c r="BQ1229" s="84"/>
      <c r="BR1229" s="84"/>
      <c r="BS1229" s="942"/>
      <c r="BT1229" s="942"/>
      <c r="BU1229" s="942"/>
      <c r="BV1229" s="84"/>
    </row>
    <row r="1230" spans="14:74" ht="14.25">
      <c r="N1230" s="84"/>
      <c r="O1230" s="84"/>
      <c r="P1230" s="84"/>
      <c r="Q1230" s="84"/>
      <c r="R1230" s="84"/>
      <c r="S1230" s="84"/>
      <c r="T1230" s="84"/>
      <c r="U1230" s="84"/>
      <c r="V1230" s="84"/>
      <c r="W1230" s="84"/>
      <c r="Y1230" s="84"/>
      <c r="Z1230" s="84"/>
      <c r="AA1230" s="84"/>
      <c r="AB1230" s="84"/>
      <c r="AC1230" s="84"/>
      <c r="AD1230" s="84"/>
      <c r="AE1230" s="84"/>
      <c r="AF1230" s="84"/>
      <c r="AG1230" s="84"/>
      <c r="AH1230" s="84"/>
      <c r="AI1230" s="84"/>
      <c r="AL1230" s="84"/>
      <c r="AM1230" s="84"/>
      <c r="AN1230" s="84"/>
      <c r="AO1230" s="84"/>
      <c r="AP1230" s="84"/>
      <c r="AQ1230" s="84"/>
      <c r="AR1230" s="84"/>
      <c r="AS1230" s="84"/>
      <c r="AT1230" s="84"/>
      <c r="AU1230" s="84"/>
      <c r="AV1230" s="84"/>
      <c r="AY1230" s="84"/>
      <c r="AZ1230" s="84"/>
      <c r="BA1230" s="84"/>
      <c r="BB1230" s="84"/>
      <c r="BC1230" s="84"/>
      <c r="BD1230" s="84"/>
      <c r="BE1230" s="84"/>
      <c r="BF1230" s="942"/>
      <c r="BG1230" s="942"/>
      <c r="BH1230" s="942"/>
      <c r="BI1230" s="84"/>
      <c r="BL1230" s="84"/>
      <c r="BM1230" s="84"/>
      <c r="BN1230" s="84"/>
      <c r="BO1230" s="84"/>
      <c r="BP1230" s="84"/>
      <c r="BQ1230" s="84"/>
      <c r="BR1230" s="84"/>
      <c r="BS1230" s="942"/>
      <c r="BT1230" s="942"/>
      <c r="BU1230" s="942"/>
      <c r="BV1230" s="84"/>
    </row>
    <row r="1231" spans="14:74" ht="14.25">
      <c r="N1231" s="84"/>
      <c r="O1231" s="84"/>
      <c r="P1231" s="84"/>
      <c r="Q1231" s="84"/>
      <c r="R1231" s="84"/>
      <c r="S1231" s="84"/>
      <c r="T1231" s="84"/>
      <c r="U1231" s="84"/>
      <c r="V1231" s="84"/>
      <c r="W1231" s="84"/>
      <c r="Y1231" s="84"/>
      <c r="Z1231" s="84"/>
      <c r="AA1231" s="84"/>
      <c r="AB1231" s="84"/>
      <c r="AC1231" s="84"/>
      <c r="AD1231" s="84"/>
      <c r="AE1231" s="84"/>
      <c r="AF1231" s="84"/>
      <c r="AG1231" s="84"/>
      <c r="AH1231" s="84"/>
      <c r="AI1231" s="84"/>
      <c r="AL1231" s="84"/>
      <c r="AM1231" s="84"/>
      <c r="AN1231" s="84"/>
      <c r="AO1231" s="84"/>
      <c r="AP1231" s="84"/>
      <c r="AQ1231" s="84"/>
      <c r="AR1231" s="84"/>
      <c r="AS1231" s="84"/>
      <c r="AT1231" s="84"/>
      <c r="AU1231" s="84"/>
      <c r="AV1231" s="84"/>
      <c r="AY1231" s="84"/>
      <c r="AZ1231" s="84"/>
      <c r="BA1231" s="84"/>
      <c r="BB1231" s="84"/>
      <c r="BC1231" s="84"/>
      <c r="BD1231" s="84"/>
      <c r="BE1231" s="84"/>
      <c r="BF1231" s="942"/>
      <c r="BG1231" s="942"/>
      <c r="BH1231" s="942"/>
      <c r="BI1231" s="84"/>
      <c r="BL1231" s="84"/>
      <c r="BM1231" s="84"/>
      <c r="BN1231" s="84"/>
      <c r="BO1231" s="84"/>
      <c r="BP1231" s="84"/>
      <c r="BQ1231" s="84"/>
      <c r="BR1231" s="84"/>
      <c r="BS1231" s="942"/>
      <c r="BT1231" s="942"/>
      <c r="BU1231" s="942"/>
      <c r="BV1231" s="84"/>
    </row>
    <row r="1232" spans="14:74" ht="14.25">
      <c r="N1232" s="84"/>
      <c r="O1232" s="84"/>
      <c r="P1232" s="84"/>
      <c r="Q1232" s="84"/>
      <c r="R1232" s="84"/>
      <c r="S1232" s="84"/>
      <c r="T1232" s="84"/>
      <c r="U1232" s="84"/>
      <c r="V1232" s="84"/>
      <c r="W1232" s="84"/>
      <c r="Y1232" s="84"/>
      <c r="Z1232" s="84"/>
      <c r="AA1232" s="84"/>
      <c r="AB1232" s="84"/>
      <c r="AC1232" s="84"/>
      <c r="AD1232" s="84"/>
      <c r="AE1232" s="84"/>
      <c r="AF1232" s="84"/>
      <c r="AG1232" s="84"/>
      <c r="AH1232" s="84"/>
      <c r="AI1232" s="84"/>
      <c r="AL1232" s="84"/>
      <c r="AM1232" s="84"/>
      <c r="AN1232" s="84"/>
      <c r="AO1232" s="84"/>
      <c r="AP1232" s="84"/>
      <c r="AQ1232" s="84"/>
      <c r="AR1232" s="84"/>
      <c r="AS1232" s="84"/>
      <c r="AT1232" s="84"/>
      <c r="AU1232" s="84"/>
      <c r="AV1232" s="84"/>
      <c r="AY1232" s="84"/>
      <c r="AZ1232" s="84"/>
      <c r="BA1232" s="84"/>
      <c r="BB1232" s="84"/>
      <c r="BC1232" s="84"/>
      <c r="BD1232" s="84"/>
      <c r="BE1232" s="84"/>
      <c r="BF1232" s="942"/>
      <c r="BG1232" s="942"/>
      <c r="BH1232" s="942"/>
      <c r="BI1232" s="84"/>
      <c r="BL1232" s="84"/>
      <c r="BM1232" s="84"/>
      <c r="BN1232" s="84"/>
      <c r="BO1232" s="84"/>
      <c r="BP1232" s="84"/>
      <c r="BQ1232" s="84"/>
      <c r="BR1232" s="84"/>
      <c r="BS1232" s="942"/>
      <c r="BT1232" s="942"/>
      <c r="BU1232" s="942"/>
      <c r="BV1232" s="84"/>
    </row>
    <row r="1233" spans="14:74" ht="14.25">
      <c r="N1233" s="84"/>
      <c r="O1233" s="84"/>
      <c r="P1233" s="84"/>
      <c r="Q1233" s="84"/>
      <c r="R1233" s="84"/>
      <c r="S1233" s="84"/>
      <c r="T1233" s="84"/>
      <c r="U1233" s="84"/>
      <c r="V1233" s="84"/>
      <c r="W1233" s="84"/>
      <c r="Y1233" s="84"/>
      <c r="Z1233" s="84"/>
      <c r="AA1233" s="84"/>
      <c r="AB1233" s="84"/>
      <c r="AC1233" s="84"/>
      <c r="AD1233" s="84"/>
      <c r="AE1233" s="84"/>
      <c r="AF1233" s="84"/>
      <c r="AG1233" s="84"/>
      <c r="AH1233" s="84"/>
      <c r="AI1233" s="84"/>
      <c r="AL1233" s="84"/>
      <c r="AM1233" s="84"/>
      <c r="AN1233" s="84"/>
      <c r="AO1233" s="84"/>
      <c r="AP1233" s="84"/>
      <c r="AQ1233" s="84"/>
      <c r="AR1233" s="84"/>
      <c r="AS1233" s="84"/>
      <c r="AT1233" s="84"/>
      <c r="AU1233" s="84"/>
      <c r="AV1233" s="84"/>
      <c r="AY1233" s="84"/>
      <c r="AZ1233" s="84"/>
      <c r="BA1233" s="84"/>
      <c r="BB1233" s="84"/>
      <c r="BC1233" s="84"/>
      <c r="BD1233" s="84"/>
      <c r="BE1233" s="84"/>
      <c r="BF1233" s="942"/>
      <c r="BG1233" s="942"/>
      <c r="BH1233" s="942"/>
      <c r="BI1233" s="84"/>
      <c r="BL1233" s="84"/>
      <c r="BM1233" s="84"/>
      <c r="BN1233" s="84"/>
      <c r="BO1233" s="84"/>
      <c r="BP1233" s="84"/>
      <c r="BQ1233" s="84"/>
      <c r="BR1233" s="84"/>
      <c r="BS1233" s="942"/>
      <c r="BT1233" s="942"/>
      <c r="BU1233" s="942"/>
      <c r="BV1233" s="84"/>
    </row>
    <row r="1234" spans="14:74" ht="14.25">
      <c r="N1234" s="84"/>
      <c r="O1234" s="84"/>
      <c r="P1234" s="84"/>
      <c r="Q1234" s="84"/>
      <c r="R1234" s="84"/>
      <c r="S1234" s="84"/>
      <c r="T1234" s="84"/>
      <c r="U1234" s="84"/>
      <c r="V1234" s="84"/>
      <c r="W1234" s="84"/>
      <c r="Y1234" s="84"/>
      <c r="Z1234" s="84"/>
      <c r="AA1234" s="84"/>
      <c r="AB1234" s="84"/>
      <c r="AC1234" s="84"/>
      <c r="AD1234" s="84"/>
      <c r="AE1234" s="84"/>
      <c r="AF1234" s="84"/>
      <c r="AG1234" s="84"/>
      <c r="AH1234" s="84"/>
      <c r="AI1234" s="84"/>
      <c r="AL1234" s="84"/>
      <c r="AM1234" s="84"/>
      <c r="AN1234" s="84"/>
      <c r="AO1234" s="84"/>
      <c r="AP1234" s="84"/>
      <c r="AQ1234" s="84"/>
      <c r="AR1234" s="84"/>
      <c r="AS1234" s="84"/>
      <c r="AT1234" s="84"/>
      <c r="AU1234" s="84"/>
      <c r="AV1234" s="84"/>
      <c r="AY1234" s="84"/>
      <c r="AZ1234" s="84"/>
      <c r="BA1234" s="84"/>
      <c r="BB1234" s="84"/>
      <c r="BC1234" s="84"/>
      <c r="BD1234" s="84"/>
      <c r="BE1234" s="84"/>
      <c r="BF1234" s="942"/>
      <c r="BG1234" s="942"/>
      <c r="BH1234" s="942"/>
      <c r="BI1234" s="84"/>
      <c r="BL1234" s="84"/>
      <c r="BM1234" s="84"/>
      <c r="BN1234" s="84"/>
      <c r="BO1234" s="84"/>
      <c r="BP1234" s="84"/>
      <c r="BQ1234" s="84"/>
      <c r="BR1234" s="84"/>
      <c r="BS1234" s="942"/>
      <c r="BT1234" s="942"/>
      <c r="BU1234" s="942"/>
      <c r="BV1234" s="84"/>
    </row>
    <row r="1235" spans="14:74" ht="14.25">
      <c r="N1235" s="84"/>
      <c r="O1235" s="84"/>
      <c r="P1235" s="84"/>
      <c r="Q1235" s="84"/>
      <c r="R1235" s="84"/>
      <c r="S1235" s="84"/>
      <c r="T1235" s="84"/>
      <c r="U1235" s="84"/>
      <c r="V1235" s="84"/>
      <c r="W1235" s="84"/>
      <c r="Y1235" s="84"/>
      <c r="Z1235" s="84"/>
      <c r="AA1235" s="84"/>
      <c r="AB1235" s="84"/>
      <c r="AC1235" s="84"/>
      <c r="AD1235" s="84"/>
      <c r="AE1235" s="84"/>
      <c r="AF1235" s="84"/>
      <c r="AG1235" s="84"/>
      <c r="AH1235" s="84"/>
      <c r="AI1235" s="84"/>
      <c r="AL1235" s="84"/>
      <c r="AM1235" s="84"/>
      <c r="AN1235" s="84"/>
      <c r="AO1235" s="84"/>
      <c r="AP1235" s="84"/>
      <c r="AQ1235" s="84"/>
      <c r="AR1235" s="84"/>
      <c r="AS1235" s="84"/>
      <c r="AT1235" s="84"/>
      <c r="AU1235" s="84"/>
      <c r="AV1235" s="84"/>
      <c r="AY1235" s="84"/>
      <c r="AZ1235" s="84"/>
      <c r="BA1235" s="84"/>
      <c r="BB1235" s="84"/>
      <c r="BC1235" s="84"/>
      <c r="BD1235" s="84"/>
      <c r="BE1235" s="84"/>
      <c r="BF1235" s="942"/>
      <c r="BG1235" s="942"/>
      <c r="BH1235" s="942"/>
      <c r="BI1235" s="84"/>
      <c r="BL1235" s="84"/>
      <c r="BM1235" s="84"/>
      <c r="BN1235" s="84"/>
      <c r="BO1235" s="84"/>
      <c r="BP1235" s="84"/>
      <c r="BQ1235" s="84"/>
      <c r="BR1235" s="84"/>
      <c r="BS1235" s="942"/>
      <c r="BT1235" s="942"/>
      <c r="BU1235" s="942"/>
      <c r="BV1235" s="84"/>
    </row>
    <row r="1236" spans="14:74" ht="14.25">
      <c r="N1236" s="84"/>
      <c r="O1236" s="84"/>
      <c r="P1236" s="84"/>
      <c r="Q1236" s="84"/>
      <c r="R1236" s="84"/>
      <c r="S1236" s="84"/>
      <c r="T1236" s="84"/>
      <c r="U1236" s="84"/>
      <c r="V1236" s="84"/>
      <c r="W1236" s="84"/>
      <c r="Y1236" s="84"/>
      <c r="Z1236" s="84"/>
      <c r="AA1236" s="84"/>
      <c r="AB1236" s="84"/>
      <c r="AC1236" s="84"/>
      <c r="AD1236" s="84"/>
      <c r="AE1236" s="84"/>
      <c r="AF1236" s="84"/>
      <c r="AG1236" s="84"/>
      <c r="AH1236" s="84"/>
      <c r="AI1236" s="84"/>
      <c r="AL1236" s="84"/>
      <c r="AM1236" s="84"/>
      <c r="AN1236" s="84"/>
      <c r="AO1236" s="84"/>
      <c r="AP1236" s="84"/>
      <c r="AQ1236" s="84"/>
      <c r="AR1236" s="84"/>
      <c r="AS1236" s="84"/>
      <c r="AT1236" s="84"/>
      <c r="AU1236" s="84"/>
      <c r="AV1236" s="84"/>
      <c r="AY1236" s="84"/>
      <c r="AZ1236" s="84"/>
      <c r="BA1236" s="84"/>
      <c r="BB1236" s="84"/>
      <c r="BC1236" s="84"/>
      <c r="BD1236" s="84"/>
      <c r="BE1236" s="84"/>
      <c r="BF1236" s="942"/>
      <c r="BG1236" s="942"/>
      <c r="BH1236" s="942"/>
      <c r="BI1236" s="84"/>
      <c r="BL1236" s="84"/>
      <c r="BM1236" s="84"/>
      <c r="BN1236" s="84"/>
      <c r="BO1236" s="84"/>
      <c r="BP1236" s="84"/>
      <c r="BQ1236" s="84"/>
      <c r="BR1236" s="84"/>
      <c r="BS1236" s="942"/>
      <c r="BT1236" s="942"/>
      <c r="BU1236" s="942"/>
      <c r="BV1236" s="84"/>
    </row>
    <row r="1237" spans="14:74" ht="14.25">
      <c r="N1237" s="84"/>
      <c r="O1237" s="84"/>
      <c r="P1237" s="84"/>
      <c r="Q1237" s="84"/>
      <c r="R1237" s="84"/>
      <c r="S1237" s="84"/>
      <c r="T1237" s="84"/>
      <c r="U1237" s="84"/>
      <c r="V1237" s="84"/>
      <c r="W1237" s="84"/>
      <c r="Y1237" s="84"/>
      <c r="Z1237" s="84"/>
      <c r="AA1237" s="84"/>
      <c r="AB1237" s="84"/>
      <c r="AC1237" s="84"/>
      <c r="AD1237" s="84"/>
      <c r="AE1237" s="84"/>
      <c r="AF1237" s="84"/>
      <c r="AG1237" s="84"/>
      <c r="AH1237" s="84"/>
      <c r="AI1237" s="84"/>
      <c r="AL1237" s="84"/>
      <c r="AM1237" s="84"/>
      <c r="AN1237" s="84"/>
      <c r="AO1237" s="84"/>
      <c r="AP1237" s="84"/>
      <c r="AQ1237" s="84"/>
      <c r="AR1237" s="84"/>
      <c r="AS1237" s="84"/>
      <c r="AT1237" s="84"/>
      <c r="AU1237" s="84"/>
      <c r="AV1237" s="84"/>
      <c r="AY1237" s="84"/>
      <c r="AZ1237" s="84"/>
      <c r="BA1237" s="84"/>
      <c r="BB1237" s="84"/>
      <c r="BC1237" s="84"/>
      <c r="BD1237" s="84"/>
      <c r="BE1237" s="84"/>
      <c r="BF1237" s="942"/>
      <c r="BG1237" s="942"/>
      <c r="BH1237" s="942"/>
      <c r="BI1237" s="84"/>
      <c r="BL1237" s="84"/>
      <c r="BM1237" s="84"/>
      <c r="BN1237" s="84"/>
      <c r="BO1237" s="84"/>
      <c r="BP1237" s="84"/>
      <c r="BQ1237" s="84"/>
      <c r="BR1237" s="84"/>
      <c r="BS1237" s="942"/>
      <c r="BT1237" s="942"/>
      <c r="BU1237" s="942"/>
      <c r="BV1237" s="84"/>
    </row>
    <row r="1238" spans="14:74" ht="14.25">
      <c r="N1238" s="84"/>
      <c r="O1238" s="84"/>
      <c r="P1238" s="84"/>
      <c r="Q1238" s="84"/>
      <c r="R1238" s="84"/>
      <c r="S1238" s="84"/>
      <c r="T1238" s="84"/>
      <c r="U1238" s="84"/>
      <c r="V1238" s="84"/>
      <c r="W1238" s="84"/>
      <c r="Y1238" s="84"/>
      <c r="Z1238" s="84"/>
      <c r="AA1238" s="84"/>
      <c r="AB1238" s="84"/>
      <c r="AC1238" s="84"/>
      <c r="AD1238" s="84"/>
      <c r="AE1238" s="84"/>
      <c r="AF1238" s="84"/>
      <c r="AG1238" s="84"/>
      <c r="AH1238" s="84"/>
      <c r="AI1238" s="84"/>
      <c r="AL1238" s="84"/>
      <c r="AM1238" s="84"/>
      <c r="AN1238" s="84"/>
      <c r="AO1238" s="84"/>
      <c r="AP1238" s="84"/>
      <c r="AQ1238" s="84"/>
      <c r="AR1238" s="84"/>
      <c r="AS1238" s="84"/>
      <c r="AT1238" s="84"/>
      <c r="AU1238" s="84"/>
      <c r="AV1238" s="84"/>
      <c r="AY1238" s="84"/>
      <c r="AZ1238" s="84"/>
      <c r="BA1238" s="84"/>
      <c r="BB1238" s="84"/>
      <c r="BC1238" s="84"/>
      <c r="BD1238" s="84"/>
      <c r="BE1238" s="84"/>
      <c r="BF1238" s="942"/>
      <c r="BG1238" s="942"/>
      <c r="BH1238" s="942"/>
      <c r="BI1238" s="84"/>
      <c r="BL1238" s="84"/>
      <c r="BM1238" s="84"/>
      <c r="BN1238" s="84"/>
      <c r="BO1238" s="84"/>
      <c r="BP1238" s="84"/>
      <c r="BQ1238" s="84"/>
      <c r="BR1238" s="84"/>
      <c r="BS1238" s="942"/>
      <c r="BT1238" s="942"/>
      <c r="BU1238" s="942"/>
      <c r="BV1238" s="84"/>
    </row>
    <row r="1239" spans="14:74" ht="14.25">
      <c r="N1239" s="84"/>
      <c r="O1239" s="84"/>
      <c r="P1239" s="84"/>
      <c r="Q1239" s="84"/>
      <c r="R1239" s="84"/>
      <c r="S1239" s="84"/>
      <c r="T1239" s="84"/>
      <c r="U1239" s="84"/>
      <c r="V1239" s="84"/>
      <c r="W1239" s="84"/>
      <c r="Y1239" s="84"/>
      <c r="Z1239" s="84"/>
      <c r="AA1239" s="84"/>
      <c r="AB1239" s="84"/>
      <c r="AC1239" s="84"/>
      <c r="AD1239" s="84"/>
      <c r="AE1239" s="84"/>
      <c r="AF1239" s="84"/>
      <c r="AG1239" s="84"/>
      <c r="AH1239" s="84"/>
      <c r="AI1239" s="84"/>
      <c r="AL1239" s="84"/>
      <c r="AM1239" s="84"/>
      <c r="AN1239" s="84"/>
      <c r="AO1239" s="84"/>
      <c r="AP1239" s="84"/>
      <c r="AQ1239" s="84"/>
      <c r="AR1239" s="84"/>
      <c r="AS1239" s="84"/>
      <c r="AT1239" s="84"/>
      <c r="AU1239" s="84"/>
      <c r="AV1239" s="84"/>
      <c r="AY1239" s="84"/>
      <c r="AZ1239" s="84"/>
      <c r="BA1239" s="84"/>
      <c r="BB1239" s="84"/>
      <c r="BC1239" s="84"/>
      <c r="BD1239" s="84"/>
      <c r="BE1239" s="84"/>
      <c r="BF1239" s="942"/>
      <c r="BG1239" s="942"/>
      <c r="BH1239" s="942"/>
      <c r="BI1239" s="84"/>
      <c r="BL1239" s="84"/>
      <c r="BM1239" s="84"/>
      <c r="BN1239" s="84"/>
      <c r="BO1239" s="84"/>
      <c r="BP1239" s="84"/>
      <c r="BQ1239" s="84"/>
      <c r="BR1239" s="84"/>
      <c r="BS1239" s="942"/>
      <c r="BT1239" s="942"/>
      <c r="BU1239" s="942"/>
      <c r="BV1239" s="84"/>
    </row>
    <row r="1240" spans="14:74" ht="14.25">
      <c r="N1240" s="84"/>
      <c r="O1240" s="84"/>
      <c r="P1240" s="84"/>
      <c r="Q1240" s="84"/>
      <c r="R1240" s="84"/>
      <c r="S1240" s="84"/>
      <c r="T1240" s="84"/>
      <c r="U1240" s="84"/>
      <c r="V1240" s="84"/>
      <c r="W1240" s="84"/>
      <c r="Y1240" s="84"/>
      <c r="Z1240" s="84"/>
      <c r="AA1240" s="84"/>
      <c r="AB1240" s="84"/>
      <c r="AC1240" s="84"/>
      <c r="AD1240" s="84"/>
      <c r="AE1240" s="84"/>
      <c r="AF1240" s="84"/>
      <c r="AG1240" s="84"/>
      <c r="AH1240" s="84"/>
      <c r="AI1240" s="84"/>
      <c r="AL1240" s="84"/>
      <c r="AM1240" s="84"/>
      <c r="AN1240" s="84"/>
      <c r="AO1240" s="84"/>
      <c r="AP1240" s="84"/>
      <c r="AQ1240" s="84"/>
      <c r="AR1240" s="84"/>
      <c r="AS1240" s="84"/>
      <c r="AT1240" s="84"/>
      <c r="AU1240" s="84"/>
      <c r="AV1240" s="84"/>
      <c r="AY1240" s="84"/>
      <c r="AZ1240" s="84"/>
      <c r="BA1240" s="84"/>
      <c r="BB1240" s="84"/>
      <c r="BC1240" s="84"/>
      <c r="BD1240" s="84"/>
      <c r="BE1240" s="84"/>
      <c r="BF1240" s="942"/>
      <c r="BG1240" s="942"/>
      <c r="BH1240" s="942"/>
      <c r="BI1240" s="84"/>
      <c r="BL1240" s="84"/>
      <c r="BM1240" s="84"/>
      <c r="BN1240" s="84"/>
      <c r="BO1240" s="84"/>
      <c r="BP1240" s="84"/>
      <c r="BQ1240" s="84"/>
      <c r="BR1240" s="84"/>
      <c r="BS1240" s="942"/>
      <c r="BT1240" s="942"/>
      <c r="BU1240" s="942"/>
      <c r="BV1240" s="84"/>
    </row>
    <row r="1241" spans="14:74" ht="14.25">
      <c r="N1241" s="84"/>
      <c r="O1241" s="84"/>
      <c r="P1241" s="84"/>
      <c r="Q1241" s="84"/>
      <c r="R1241" s="84"/>
      <c r="S1241" s="84"/>
      <c r="T1241" s="84"/>
      <c r="U1241" s="84"/>
      <c r="V1241" s="84"/>
      <c r="W1241" s="84"/>
      <c r="Y1241" s="84"/>
      <c r="Z1241" s="84"/>
      <c r="AA1241" s="84"/>
      <c r="AB1241" s="84"/>
      <c r="AC1241" s="84"/>
      <c r="AD1241" s="84"/>
      <c r="AE1241" s="84"/>
      <c r="AF1241" s="84"/>
      <c r="AG1241" s="84"/>
      <c r="AH1241" s="84"/>
      <c r="AI1241" s="84"/>
      <c r="AL1241" s="84"/>
      <c r="AM1241" s="84"/>
      <c r="AN1241" s="84"/>
      <c r="AO1241" s="84"/>
      <c r="AP1241" s="84"/>
      <c r="AQ1241" s="84"/>
      <c r="AR1241" s="84"/>
      <c r="AS1241" s="84"/>
      <c r="AT1241" s="84"/>
      <c r="AU1241" s="84"/>
      <c r="AV1241" s="84"/>
      <c r="AY1241" s="84"/>
      <c r="AZ1241" s="84"/>
      <c r="BA1241" s="84"/>
      <c r="BB1241" s="84"/>
      <c r="BC1241" s="84"/>
      <c r="BD1241" s="84"/>
      <c r="BE1241" s="84"/>
      <c r="BF1241" s="942"/>
      <c r="BG1241" s="942"/>
      <c r="BH1241" s="942"/>
      <c r="BI1241" s="84"/>
      <c r="BL1241" s="84"/>
      <c r="BM1241" s="84"/>
      <c r="BN1241" s="84"/>
      <c r="BO1241" s="84"/>
      <c r="BP1241" s="84"/>
      <c r="BQ1241" s="84"/>
      <c r="BR1241" s="84"/>
      <c r="BS1241" s="942"/>
      <c r="BT1241" s="942"/>
      <c r="BU1241" s="942"/>
      <c r="BV1241" s="84"/>
    </row>
    <row r="1242" spans="14:74" ht="14.25">
      <c r="N1242" s="84"/>
      <c r="O1242" s="84"/>
      <c r="P1242" s="84"/>
      <c r="Q1242" s="84"/>
      <c r="R1242" s="84"/>
      <c r="S1242" s="84"/>
      <c r="T1242" s="84"/>
      <c r="U1242" s="84"/>
      <c r="V1242" s="84"/>
      <c r="W1242" s="84"/>
      <c r="Y1242" s="84"/>
      <c r="Z1242" s="84"/>
      <c r="AA1242" s="84"/>
      <c r="AB1242" s="84"/>
      <c r="AC1242" s="84"/>
      <c r="AD1242" s="84"/>
      <c r="AE1242" s="84"/>
      <c r="AF1242" s="84"/>
      <c r="AG1242" s="84"/>
      <c r="AH1242" s="84"/>
      <c r="AI1242" s="84"/>
      <c r="AL1242" s="84"/>
      <c r="AM1242" s="84"/>
      <c r="AN1242" s="84"/>
      <c r="AO1242" s="84"/>
      <c r="AP1242" s="84"/>
      <c r="AQ1242" s="84"/>
      <c r="AR1242" s="84"/>
      <c r="AS1242" s="84"/>
      <c r="AT1242" s="84"/>
      <c r="AU1242" s="84"/>
      <c r="AV1242" s="84"/>
      <c r="AY1242" s="84"/>
      <c r="AZ1242" s="84"/>
      <c r="BA1242" s="84"/>
      <c r="BB1242" s="84"/>
      <c r="BC1242" s="84"/>
      <c r="BD1242" s="84"/>
      <c r="BE1242" s="84"/>
      <c r="BF1242" s="942"/>
      <c r="BG1242" s="942"/>
      <c r="BH1242" s="942"/>
      <c r="BI1242" s="84"/>
      <c r="BL1242" s="84"/>
      <c r="BM1242" s="84"/>
      <c r="BN1242" s="84"/>
      <c r="BO1242" s="84"/>
      <c r="BP1242" s="84"/>
      <c r="BQ1242" s="84"/>
      <c r="BR1242" s="84"/>
      <c r="BS1242" s="942"/>
      <c r="BT1242" s="942"/>
      <c r="BU1242" s="942"/>
      <c r="BV1242" s="84"/>
    </row>
    <row r="1243" spans="14:74" ht="14.25">
      <c r="N1243" s="84"/>
      <c r="O1243" s="84"/>
      <c r="P1243" s="84"/>
      <c r="Q1243" s="84"/>
      <c r="R1243" s="84"/>
      <c r="S1243" s="84"/>
      <c r="T1243" s="84"/>
      <c r="U1243" s="84"/>
      <c r="V1243" s="84"/>
      <c r="W1243" s="84"/>
      <c r="Y1243" s="84"/>
      <c r="Z1243" s="84"/>
      <c r="AA1243" s="84"/>
      <c r="AB1243" s="84"/>
      <c r="AC1243" s="84"/>
      <c r="AD1243" s="84"/>
      <c r="AE1243" s="84"/>
      <c r="AF1243" s="84"/>
      <c r="AG1243" s="84"/>
      <c r="AH1243" s="84"/>
      <c r="AI1243" s="84"/>
      <c r="AL1243" s="84"/>
      <c r="AM1243" s="84"/>
      <c r="AN1243" s="84"/>
      <c r="AO1243" s="84"/>
      <c r="AP1243" s="84"/>
      <c r="AQ1243" s="84"/>
      <c r="AR1243" s="84"/>
      <c r="AS1243" s="84"/>
      <c r="AT1243" s="84"/>
      <c r="AU1243" s="84"/>
      <c r="AV1243" s="84"/>
      <c r="AY1243" s="84"/>
      <c r="AZ1243" s="84"/>
      <c r="BA1243" s="84"/>
      <c r="BB1243" s="84"/>
      <c r="BC1243" s="84"/>
      <c r="BD1243" s="84"/>
      <c r="BE1243" s="84"/>
      <c r="BF1243" s="942"/>
      <c r="BG1243" s="942"/>
      <c r="BH1243" s="942"/>
      <c r="BI1243" s="84"/>
      <c r="BL1243" s="84"/>
      <c r="BM1243" s="84"/>
      <c r="BN1243" s="84"/>
      <c r="BO1243" s="84"/>
      <c r="BP1243" s="84"/>
      <c r="BQ1243" s="84"/>
      <c r="BR1243" s="84"/>
      <c r="BS1243" s="942"/>
      <c r="BT1243" s="942"/>
      <c r="BU1243" s="942"/>
      <c r="BV1243" s="84"/>
    </row>
    <row r="1244" spans="14:74" ht="14.25">
      <c r="N1244" s="84"/>
      <c r="O1244" s="84"/>
      <c r="P1244" s="84"/>
      <c r="Q1244" s="84"/>
      <c r="R1244" s="84"/>
      <c r="S1244" s="84"/>
      <c r="T1244" s="84"/>
      <c r="U1244" s="84"/>
      <c r="V1244" s="84"/>
      <c r="W1244" s="84"/>
      <c r="Y1244" s="84"/>
      <c r="Z1244" s="84"/>
      <c r="AA1244" s="84"/>
      <c r="AB1244" s="84"/>
      <c r="AC1244" s="84"/>
      <c r="AD1244" s="84"/>
      <c r="AE1244" s="84"/>
      <c r="AF1244" s="84"/>
      <c r="AG1244" s="84"/>
      <c r="AH1244" s="84"/>
      <c r="AI1244" s="84"/>
      <c r="AL1244" s="84"/>
      <c r="AM1244" s="84"/>
      <c r="AN1244" s="84"/>
      <c r="AO1244" s="84"/>
      <c r="AP1244" s="84"/>
      <c r="AQ1244" s="84"/>
      <c r="AR1244" s="84"/>
      <c r="AS1244" s="84"/>
      <c r="AT1244" s="84"/>
      <c r="AU1244" s="84"/>
      <c r="AV1244" s="84"/>
      <c r="AY1244" s="84"/>
      <c r="AZ1244" s="84"/>
      <c r="BA1244" s="84"/>
      <c r="BB1244" s="84"/>
      <c r="BC1244" s="84"/>
      <c r="BD1244" s="84"/>
      <c r="BE1244" s="84"/>
      <c r="BF1244" s="942"/>
      <c r="BG1244" s="942"/>
      <c r="BH1244" s="942"/>
      <c r="BI1244" s="84"/>
      <c r="BL1244" s="84"/>
      <c r="BM1244" s="84"/>
      <c r="BN1244" s="84"/>
      <c r="BO1244" s="84"/>
      <c r="BP1244" s="84"/>
      <c r="BQ1244" s="84"/>
      <c r="BR1244" s="84"/>
      <c r="BS1244" s="942"/>
      <c r="BT1244" s="942"/>
      <c r="BU1244" s="942"/>
      <c r="BV1244" s="84"/>
    </row>
    <row r="1245" spans="14:74" ht="14.25">
      <c r="N1245" s="84"/>
      <c r="O1245" s="84"/>
      <c r="P1245" s="84"/>
      <c r="Q1245" s="84"/>
      <c r="R1245" s="84"/>
      <c r="S1245" s="84"/>
      <c r="T1245" s="84"/>
      <c r="U1245" s="84"/>
      <c r="V1245" s="84"/>
      <c r="W1245" s="84"/>
      <c r="Y1245" s="84"/>
      <c r="Z1245" s="84"/>
      <c r="AA1245" s="84"/>
      <c r="AB1245" s="84"/>
      <c r="AC1245" s="84"/>
      <c r="AD1245" s="84"/>
      <c r="AE1245" s="84"/>
      <c r="AF1245" s="84"/>
      <c r="AG1245" s="84"/>
      <c r="AH1245" s="84"/>
      <c r="AI1245" s="84"/>
      <c r="AL1245" s="84"/>
      <c r="AM1245" s="84"/>
      <c r="AN1245" s="84"/>
      <c r="AO1245" s="84"/>
      <c r="AP1245" s="84"/>
      <c r="AQ1245" s="84"/>
      <c r="AR1245" s="84"/>
      <c r="AS1245" s="84"/>
      <c r="AT1245" s="84"/>
      <c r="AU1245" s="84"/>
      <c r="AV1245" s="84"/>
      <c r="AY1245" s="84"/>
      <c r="AZ1245" s="84"/>
      <c r="BA1245" s="84"/>
      <c r="BB1245" s="84"/>
      <c r="BC1245" s="84"/>
      <c r="BD1245" s="84"/>
      <c r="BE1245" s="84"/>
      <c r="BF1245" s="942"/>
      <c r="BG1245" s="942"/>
      <c r="BH1245" s="942"/>
      <c r="BI1245" s="84"/>
      <c r="BL1245" s="84"/>
      <c r="BM1245" s="84"/>
      <c r="BN1245" s="84"/>
      <c r="BO1245" s="84"/>
      <c r="BP1245" s="84"/>
      <c r="BQ1245" s="84"/>
      <c r="BR1245" s="84"/>
      <c r="BS1245" s="942"/>
      <c r="BT1245" s="942"/>
      <c r="BU1245" s="942"/>
      <c r="BV1245" s="84"/>
    </row>
    <row r="1246" spans="14:74" ht="14.25">
      <c r="N1246" s="84"/>
      <c r="O1246" s="84"/>
      <c r="P1246" s="84"/>
      <c r="Q1246" s="84"/>
      <c r="R1246" s="84"/>
      <c r="S1246" s="84"/>
      <c r="T1246" s="84"/>
      <c r="U1246" s="84"/>
      <c r="V1246" s="84"/>
      <c r="W1246" s="84"/>
      <c r="Y1246" s="84"/>
      <c r="Z1246" s="84"/>
      <c r="AA1246" s="84"/>
      <c r="AB1246" s="84"/>
      <c r="AC1246" s="84"/>
      <c r="AD1246" s="84"/>
      <c r="AE1246" s="84"/>
      <c r="AF1246" s="84"/>
      <c r="AG1246" s="84"/>
      <c r="AH1246" s="84"/>
      <c r="AI1246" s="84"/>
      <c r="AL1246" s="84"/>
      <c r="AM1246" s="84"/>
      <c r="AN1246" s="84"/>
      <c r="AO1246" s="84"/>
      <c r="AP1246" s="84"/>
      <c r="AQ1246" s="84"/>
      <c r="AR1246" s="84"/>
      <c r="AS1246" s="84"/>
      <c r="AT1246" s="84"/>
      <c r="AU1246" s="84"/>
      <c r="AV1246" s="84"/>
      <c r="AY1246" s="84"/>
      <c r="AZ1246" s="84"/>
      <c r="BA1246" s="84"/>
      <c r="BB1246" s="84"/>
      <c r="BC1246" s="84"/>
      <c r="BD1246" s="84"/>
      <c r="BE1246" s="84"/>
      <c r="BF1246" s="942"/>
      <c r="BG1246" s="942"/>
      <c r="BH1246" s="942"/>
      <c r="BI1246" s="84"/>
      <c r="BL1246" s="84"/>
      <c r="BM1246" s="84"/>
      <c r="BN1246" s="84"/>
      <c r="BO1246" s="84"/>
      <c r="BP1246" s="84"/>
      <c r="BQ1246" s="84"/>
      <c r="BR1246" s="84"/>
      <c r="BS1246" s="942"/>
      <c r="BT1246" s="942"/>
      <c r="BU1246" s="942"/>
      <c r="BV1246" s="84"/>
    </row>
    <row r="1247" spans="14:74" ht="14.25">
      <c r="N1247" s="84"/>
      <c r="O1247" s="84"/>
      <c r="P1247" s="84"/>
      <c r="Q1247" s="84"/>
      <c r="R1247" s="84"/>
      <c r="S1247" s="84"/>
      <c r="T1247" s="84"/>
      <c r="U1247" s="84"/>
      <c r="V1247" s="84"/>
      <c r="W1247" s="84"/>
      <c r="Y1247" s="84"/>
      <c r="Z1247" s="84"/>
      <c r="AA1247" s="84"/>
      <c r="AB1247" s="84"/>
      <c r="AC1247" s="84"/>
      <c r="AD1247" s="84"/>
      <c r="AE1247" s="84"/>
      <c r="AF1247" s="84"/>
      <c r="AG1247" s="84"/>
      <c r="AH1247" s="84"/>
      <c r="AI1247" s="84"/>
      <c r="AL1247" s="84"/>
      <c r="AM1247" s="84"/>
      <c r="AN1247" s="84"/>
      <c r="AO1247" s="84"/>
      <c r="AP1247" s="84"/>
      <c r="AQ1247" s="84"/>
      <c r="AR1247" s="84"/>
      <c r="AS1247" s="84"/>
      <c r="AT1247" s="84"/>
      <c r="AU1247" s="84"/>
      <c r="AV1247" s="84"/>
      <c r="AY1247" s="84"/>
      <c r="AZ1247" s="84"/>
      <c r="BA1247" s="84"/>
      <c r="BB1247" s="84"/>
      <c r="BC1247" s="84"/>
      <c r="BD1247" s="84"/>
      <c r="BE1247" s="84"/>
      <c r="BF1247" s="942"/>
      <c r="BG1247" s="942"/>
      <c r="BH1247" s="942"/>
      <c r="BI1247" s="84"/>
      <c r="BL1247" s="84"/>
      <c r="BM1247" s="84"/>
      <c r="BN1247" s="84"/>
      <c r="BO1247" s="84"/>
      <c r="BP1247" s="84"/>
      <c r="BQ1247" s="84"/>
      <c r="BR1247" s="84"/>
      <c r="BS1247" s="942"/>
      <c r="BT1247" s="942"/>
      <c r="BU1247" s="942"/>
      <c r="BV1247" s="84"/>
    </row>
    <row r="1248" spans="14:74" ht="14.25">
      <c r="N1248" s="84"/>
      <c r="O1248" s="84"/>
      <c r="P1248" s="84"/>
      <c r="Q1248" s="84"/>
      <c r="R1248" s="84"/>
      <c r="S1248" s="84"/>
      <c r="T1248" s="84"/>
      <c r="U1248" s="84"/>
      <c r="V1248" s="84"/>
      <c r="W1248" s="84"/>
      <c r="Y1248" s="84"/>
      <c r="Z1248" s="84"/>
      <c r="AA1248" s="84"/>
      <c r="AB1248" s="84"/>
      <c r="AC1248" s="84"/>
      <c r="AD1248" s="84"/>
      <c r="AE1248" s="84"/>
      <c r="AF1248" s="84"/>
      <c r="AG1248" s="84"/>
      <c r="AH1248" s="84"/>
      <c r="AI1248" s="84"/>
      <c r="AL1248" s="84"/>
      <c r="AM1248" s="84"/>
      <c r="AN1248" s="84"/>
      <c r="AO1248" s="84"/>
      <c r="AP1248" s="84"/>
      <c r="AQ1248" s="84"/>
      <c r="AR1248" s="84"/>
      <c r="AS1248" s="84"/>
      <c r="AT1248" s="84"/>
      <c r="AU1248" s="84"/>
      <c r="AV1248" s="84"/>
      <c r="AY1248" s="84"/>
      <c r="AZ1248" s="84"/>
      <c r="BA1248" s="84"/>
      <c r="BB1248" s="84"/>
      <c r="BC1248" s="84"/>
      <c r="BD1248" s="84"/>
      <c r="BE1248" s="84"/>
      <c r="BF1248" s="942"/>
      <c r="BG1248" s="942"/>
      <c r="BH1248" s="942"/>
      <c r="BI1248" s="84"/>
      <c r="BL1248" s="84"/>
      <c r="BM1248" s="84"/>
      <c r="BN1248" s="84"/>
      <c r="BO1248" s="84"/>
      <c r="BP1248" s="84"/>
      <c r="BQ1248" s="84"/>
      <c r="BR1248" s="84"/>
      <c r="BS1248" s="942"/>
      <c r="BT1248" s="942"/>
      <c r="BU1248" s="942"/>
      <c r="BV1248" s="84"/>
    </row>
    <row r="1249" spans="14:74" ht="14.25">
      <c r="N1249" s="84"/>
      <c r="O1249" s="84"/>
      <c r="P1249" s="84"/>
      <c r="Q1249" s="84"/>
      <c r="R1249" s="84"/>
      <c r="S1249" s="84"/>
      <c r="T1249" s="84"/>
      <c r="U1249" s="84"/>
      <c r="V1249" s="84"/>
      <c r="W1249" s="84"/>
      <c r="Y1249" s="84"/>
      <c r="Z1249" s="84"/>
      <c r="AA1249" s="84"/>
      <c r="AB1249" s="84"/>
      <c r="AC1249" s="84"/>
      <c r="AD1249" s="84"/>
      <c r="AE1249" s="84"/>
      <c r="AF1249" s="84"/>
      <c r="AG1249" s="84"/>
      <c r="AH1249" s="84"/>
      <c r="AI1249" s="84"/>
      <c r="AL1249" s="84"/>
      <c r="AM1249" s="84"/>
      <c r="AN1249" s="84"/>
      <c r="AO1249" s="84"/>
      <c r="AP1249" s="84"/>
      <c r="AQ1249" s="84"/>
      <c r="AR1249" s="84"/>
      <c r="AS1249" s="84"/>
      <c r="AT1249" s="84"/>
      <c r="AU1249" s="84"/>
      <c r="AV1249" s="84"/>
      <c r="AY1249" s="84"/>
      <c r="AZ1249" s="84"/>
      <c r="BA1249" s="84"/>
      <c r="BB1249" s="84"/>
      <c r="BC1249" s="84"/>
      <c r="BD1249" s="84"/>
      <c r="BE1249" s="84"/>
      <c r="BF1249" s="942"/>
      <c r="BG1249" s="942"/>
      <c r="BH1249" s="942"/>
      <c r="BI1249" s="84"/>
      <c r="BL1249" s="84"/>
      <c r="BM1249" s="84"/>
      <c r="BN1249" s="84"/>
      <c r="BO1249" s="84"/>
      <c r="BP1249" s="84"/>
      <c r="BQ1249" s="84"/>
      <c r="BR1249" s="84"/>
      <c r="BS1249" s="942"/>
      <c r="BT1249" s="942"/>
      <c r="BU1249" s="942"/>
      <c r="BV1249" s="84"/>
    </row>
    <row r="1250" spans="14:74" ht="14.25">
      <c r="N1250" s="84"/>
      <c r="O1250" s="84"/>
      <c r="P1250" s="84"/>
      <c r="Q1250" s="84"/>
      <c r="R1250" s="84"/>
      <c r="S1250" s="84"/>
      <c r="T1250" s="84"/>
      <c r="U1250" s="84"/>
      <c r="V1250" s="84"/>
      <c r="W1250" s="84"/>
      <c r="Y1250" s="84"/>
      <c r="Z1250" s="84"/>
      <c r="AA1250" s="84"/>
      <c r="AB1250" s="84"/>
      <c r="AC1250" s="84"/>
      <c r="AD1250" s="84"/>
      <c r="AE1250" s="84"/>
      <c r="AF1250" s="84"/>
      <c r="AG1250" s="84"/>
      <c r="AH1250" s="84"/>
      <c r="AI1250" s="84"/>
      <c r="AL1250" s="84"/>
      <c r="AM1250" s="84"/>
      <c r="AN1250" s="84"/>
      <c r="AO1250" s="84"/>
      <c r="AP1250" s="84"/>
      <c r="AQ1250" s="84"/>
      <c r="AR1250" s="84"/>
      <c r="AS1250" s="84"/>
      <c r="AT1250" s="84"/>
      <c r="AU1250" s="84"/>
      <c r="AV1250" s="84"/>
      <c r="AY1250" s="84"/>
      <c r="AZ1250" s="84"/>
      <c r="BA1250" s="84"/>
      <c r="BB1250" s="84"/>
      <c r="BC1250" s="84"/>
      <c r="BD1250" s="84"/>
      <c r="BE1250" s="84"/>
      <c r="BF1250" s="942"/>
      <c r="BG1250" s="942"/>
      <c r="BH1250" s="942"/>
      <c r="BI1250" s="84"/>
      <c r="BL1250" s="84"/>
      <c r="BM1250" s="84"/>
      <c r="BN1250" s="84"/>
      <c r="BO1250" s="84"/>
      <c r="BP1250" s="84"/>
      <c r="BQ1250" s="84"/>
      <c r="BR1250" s="84"/>
      <c r="BS1250" s="942"/>
      <c r="BT1250" s="942"/>
      <c r="BU1250" s="942"/>
      <c r="BV1250" s="84"/>
    </row>
    <row r="1251" spans="14:74" ht="14.25">
      <c r="N1251" s="84"/>
      <c r="O1251" s="84"/>
      <c r="P1251" s="84"/>
      <c r="Q1251" s="84"/>
      <c r="R1251" s="84"/>
      <c r="S1251" s="84"/>
      <c r="T1251" s="84"/>
      <c r="U1251" s="84"/>
      <c r="V1251" s="84"/>
      <c r="W1251" s="84"/>
      <c r="Y1251" s="84"/>
      <c r="Z1251" s="84"/>
      <c r="AA1251" s="84"/>
      <c r="AB1251" s="84"/>
      <c r="AC1251" s="84"/>
      <c r="AD1251" s="84"/>
      <c r="AE1251" s="84"/>
      <c r="AF1251" s="84"/>
      <c r="AG1251" s="84"/>
      <c r="AH1251" s="84"/>
      <c r="AI1251" s="84"/>
      <c r="AL1251" s="84"/>
      <c r="AM1251" s="84"/>
      <c r="AN1251" s="84"/>
      <c r="AO1251" s="84"/>
      <c r="AP1251" s="84"/>
      <c r="AQ1251" s="84"/>
      <c r="AR1251" s="84"/>
      <c r="AS1251" s="84"/>
      <c r="AT1251" s="84"/>
      <c r="AU1251" s="84"/>
      <c r="AV1251" s="84"/>
      <c r="AY1251" s="84"/>
      <c r="AZ1251" s="84"/>
      <c r="BA1251" s="84"/>
      <c r="BB1251" s="84"/>
      <c r="BC1251" s="84"/>
      <c r="BD1251" s="84"/>
      <c r="BE1251" s="84"/>
      <c r="BF1251" s="942"/>
      <c r="BG1251" s="942"/>
      <c r="BH1251" s="942"/>
      <c r="BI1251" s="84"/>
      <c r="BL1251" s="84"/>
      <c r="BM1251" s="84"/>
      <c r="BN1251" s="84"/>
      <c r="BO1251" s="84"/>
      <c r="BP1251" s="84"/>
      <c r="BQ1251" s="84"/>
      <c r="BR1251" s="84"/>
      <c r="BS1251" s="942"/>
      <c r="BT1251" s="942"/>
      <c r="BU1251" s="942"/>
      <c r="BV1251" s="84"/>
    </row>
    <row r="1252" spans="14:74" ht="14.25">
      <c r="N1252" s="84"/>
      <c r="O1252" s="84"/>
      <c r="P1252" s="84"/>
      <c r="Q1252" s="84"/>
      <c r="R1252" s="84"/>
      <c r="S1252" s="84"/>
      <c r="T1252" s="84"/>
      <c r="U1252" s="84"/>
      <c r="V1252" s="84"/>
      <c r="W1252" s="84"/>
      <c r="Y1252" s="84"/>
      <c r="Z1252" s="84"/>
      <c r="AA1252" s="84"/>
      <c r="AB1252" s="84"/>
      <c r="AC1252" s="84"/>
      <c r="AD1252" s="84"/>
      <c r="AE1252" s="84"/>
      <c r="AF1252" s="84"/>
      <c r="AG1252" s="84"/>
      <c r="AH1252" s="84"/>
      <c r="AI1252" s="84"/>
      <c r="AL1252" s="84"/>
      <c r="AM1252" s="84"/>
      <c r="AN1252" s="84"/>
      <c r="AO1252" s="84"/>
      <c r="AP1252" s="84"/>
      <c r="AQ1252" s="84"/>
      <c r="AR1252" s="84"/>
      <c r="AS1252" s="84"/>
      <c r="AT1252" s="84"/>
      <c r="AU1252" s="84"/>
      <c r="AV1252" s="84"/>
      <c r="AY1252" s="84"/>
      <c r="AZ1252" s="84"/>
      <c r="BA1252" s="84"/>
      <c r="BB1252" s="84"/>
      <c r="BC1252" s="84"/>
      <c r="BD1252" s="84"/>
      <c r="BE1252" s="84"/>
      <c r="BF1252" s="942"/>
      <c r="BG1252" s="942"/>
      <c r="BH1252" s="942"/>
      <c r="BI1252" s="84"/>
      <c r="BL1252" s="84"/>
      <c r="BM1252" s="84"/>
      <c r="BN1252" s="84"/>
      <c r="BO1252" s="84"/>
      <c r="BP1252" s="84"/>
      <c r="BQ1252" s="84"/>
      <c r="BR1252" s="84"/>
      <c r="BS1252" s="942"/>
      <c r="BT1252" s="942"/>
      <c r="BU1252" s="942"/>
      <c r="BV1252" s="84"/>
    </row>
    <row r="1253" spans="14:74" ht="14.25">
      <c r="N1253" s="84"/>
      <c r="O1253" s="84"/>
      <c r="P1253" s="84"/>
      <c r="Q1253" s="84"/>
      <c r="R1253" s="84"/>
      <c r="S1253" s="84"/>
      <c r="T1253" s="84"/>
      <c r="U1253" s="84"/>
      <c r="V1253" s="84"/>
      <c r="W1253" s="84"/>
      <c r="Y1253" s="84"/>
      <c r="Z1253" s="84"/>
      <c r="AA1253" s="84"/>
      <c r="AB1253" s="84"/>
      <c r="AC1253" s="84"/>
      <c r="AD1253" s="84"/>
      <c r="AE1253" s="84"/>
      <c r="AF1253" s="84"/>
      <c r="AG1253" s="84"/>
      <c r="AH1253" s="84"/>
      <c r="AI1253" s="84"/>
      <c r="AL1253" s="84"/>
      <c r="AM1253" s="84"/>
      <c r="AN1253" s="84"/>
      <c r="AO1253" s="84"/>
      <c r="AP1253" s="84"/>
      <c r="AQ1253" s="84"/>
      <c r="AR1253" s="84"/>
      <c r="AS1253" s="84"/>
      <c r="AT1253" s="84"/>
      <c r="AU1253" s="84"/>
      <c r="AV1253" s="84"/>
      <c r="AY1253" s="84"/>
      <c r="AZ1253" s="84"/>
      <c r="BA1253" s="84"/>
      <c r="BB1253" s="84"/>
      <c r="BC1253" s="84"/>
      <c r="BD1253" s="84"/>
      <c r="BE1253" s="84"/>
      <c r="BF1253" s="942"/>
      <c r="BG1253" s="942"/>
      <c r="BH1253" s="942"/>
      <c r="BI1253" s="84"/>
      <c r="BL1253" s="84"/>
      <c r="BM1253" s="84"/>
      <c r="BN1253" s="84"/>
      <c r="BO1253" s="84"/>
      <c r="BP1253" s="84"/>
      <c r="BQ1253" s="84"/>
      <c r="BR1253" s="84"/>
      <c r="BS1253" s="942"/>
      <c r="BT1253" s="942"/>
      <c r="BU1253" s="942"/>
      <c r="BV1253" s="84"/>
    </row>
    <row r="1254" spans="14:74" ht="14.25">
      <c r="N1254" s="84"/>
      <c r="O1254" s="84"/>
      <c r="P1254" s="84"/>
      <c r="Q1254" s="84"/>
      <c r="R1254" s="84"/>
      <c r="S1254" s="84"/>
      <c r="T1254" s="84"/>
      <c r="U1254" s="84"/>
      <c r="V1254" s="84"/>
      <c r="W1254" s="84"/>
      <c r="Y1254" s="84"/>
      <c r="Z1254" s="84"/>
      <c r="AA1254" s="84"/>
      <c r="AB1254" s="84"/>
      <c r="AC1254" s="84"/>
      <c r="AD1254" s="84"/>
      <c r="AE1254" s="84"/>
      <c r="AF1254" s="84"/>
      <c r="AG1254" s="84"/>
      <c r="AH1254" s="84"/>
      <c r="AI1254" s="84"/>
      <c r="AL1254" s="84"/>
      <c r="AM1254" s="84"/>
      <c r="AN1254" s="84"/>
      <c r="AO1254" s="84"/>
      <c r="AP1254" s="84"/>
      <c r="AQ1254" s="84"/>
      <c r="AR1254" s="84"/>
      <c r="AS1254" s="84"/>
      <c r="AT1254" s="84"/>
      <c r="AU1254" s="84"/>
      <c r="AV1254" s="84"/>
      <c r="AY1254" s="84"/>
      <c r="AZ1254" s="84"/>
      <c r="BA1254" s="84"/>
      <c r="BB1254" s="84"/>
      <c r="BC1254" s="84"/>
      <c r="BD1254" s="84"/>
      <c r="BE1254" s="84"/>
      <c r="BF1254" s="942"/>
      <c r="BG1254" s="942"/>
      <c r="BH1254" s="942"/>
      <c r="BI1254" s="84"/>
      <c r="BL1254" s="84"/>
      <c r="BM1254" s="84"/>
      <c r="BN1254" s="84"/>
      <c r="BO1254" s="84"/>
      <c r="BP1254" s="84"/>
      <c r="BQ1254" s="84"/>
      <c r="BR1254" s="84"/>
      <c r="BS1254" s="942"/>
      <c r="BT1254" s="942"/>
      <c r="BU1254" s="942"/>
      <c r="BV1254" s="84"/>
    </row>
    <row r="1255" spans="14:74" ht="14.25">
      <c r="N1255" s="84"/>
      <c r="O1255" s="84"/>
      <c r="P1255" s="84"/>
      <c r="Q1255" s="84"/>
      <c r="R1255" s="84"/>
      <c r="S1255" s="84"/>
      <c r="T1255" s="84"/>
      <c r="U1255" s="84"/>
      <c r="V1255" s="84"/>
      <c r="W1255" s="84"/>
      <c r="Y1255" s="84"/>
      <c r="Z1255" s="84"/>
      <c r="AA1255" s="84"/>
      <c r="AB1255" s="84"/>
      <c r="AC1255" s="84"/>
      <c r="AD1255" s="84"/>
      <c r="AE1255" s="84"/>
      <c r="AF1255" s="84"/>
      <c r="AG1255" s="84"/>
      <c r="AH1255" s="84"/>
      <c r="AI1255" s="84"/>
      <c r="AL1255" s="84"/>
      <c r="AM1255" s="84"/>
      <c r="AN1255" s="84"/>
      <c r="AO1255" s="84"/>
      <c r="AP1255" s="84"/>
      <c r="AQ1255" s="84"/>
      <c r="AR1255" s="84"/>
      <c r="AS1255" s="84"/>
      <c r="AT1255" s="84"/>
      <c r="AU1255" s="84"/>
      <c r="AV1255" s="84"/>
      <c r="AY1255" s="84"/>
      <c r="AZ1255" s="84"/>
      <c r="BA1255" s="84"/>
      <c r="BB1255" s="84"/>
      <c r="BC1255" s="84"/>
      <c r="BD1255" s="84"/>
      <c r="BE1255" s="84"/>
      <c r="BF1255" s="942"/>
      <c r="BG1255" s="942"/>
      <c r="BH1255" s="942"/>
      <c r="BI1255" s="84"/>
      <c r="BL1255" s="84"/>
      <c r="BM1255" s="84"/>
      <c r="BN1255" s="84"/>
      <c r="BO1255" s="84"/>
      <c r="BP1255" s="84"/>
      <c r="BQ1255" s="84"/>
      <c r="BR1255" s="84"/>
      <c r="BS1255" s="942"/>
      <c r="BT1255" s="942"/>
      <c r="BU1255" s="942"/>
      <c r="BV1255" s="84"/>
    </row>
    <row r="1256" spans="14:74" ht="14.25">
      <c r="N1256" s="84"/>
      <c r="O1256" s="84"/>
      <c r="P1256" s="84"/>
      <c r="Q1256" s="84"/>
      <c r="R1256" s="84"/>
      <c r="S1256" s="84"/>
      <c r="T1256" s="84"/>
      <c r="U1256" s="84"/>
      <c r="V1256" s="84"/>
      <c r="W1256" s="84"/>
      <c r="Y1256" s="84"/>
      <c r="Z1256" s="84"/>
      <c r="AA1256" s="84"/>
      <c r="AB1256" s="84"/>
      <c r="AC1256" s="84"/>
      <c r="AD1256" s="84"/>
      <c r="AE1256" s="84"/>
      <c r="AF1256" s="84"/>
      <c r="AG1256" s="84"/>
      <c r="AH1256" s="84"/>
      <c r="AI1256" s="84"/>
      <c r="AL1256" s="84"/>
      <c r="AM1256" s="84"/>
      <c r="AN1256" s="84"/>
      <c r="AO1256" s="84"/>
      <c r="AP1256" s="84"/>
      <c r="AQ1256" s="84"/>
      <c r="AR1256" s="84"/>
      <c r="AS1256" s="84"/>
      <c r="AT1256" s="84"/>
      <c r="AU1256" s="84"/>
      <c r="AV1256" s="84"/>
      <c r="AY1256" s="84"/>
      <c r="AZ1256" s="84"/>
      <c r="BA1256" s="84"/>
      <c r="BB1256" s="84"/>
      <c r="BC1256" s="84"/>
      <c r="BD1256" s="84"/>
      <c r="BE1256" s="84"/>
      <c r="BF1256" s="942"/>
      <c r="BG1256" s="942"/>
      <c r="BH1256" s="942"/>
      <c r="BI1256" s="84"/>
      <c r="BL1256" s="84"/>
      <c r="BM1256" s="84"/>
      <c r="BN1256" s="84"/>
      <c r="BO1256" s="84"/>
      <c r="BP1256" s="84"/>
      <c r="BQ1256" s="84"/>
      <c r="BR1256" s="84"/>
      <c r="BS1256" s="942"/>
      <c r="BT1256" s="942"/>
      <c r="BU1256" s="942"/>
      <c r="BV1256" s="84"/>
    </row>
    <row r="1257" spans="14:74" ht="14.25">
      <c r="N1257" s="84"/>
      <c r="O1257" s="84"/>
      <c r="P1257" s="84"/>
      <c r="Q1257" s="84"/>
      <c r="R1257" s="84"/>
      <c r="S1257" s="84"/>
      <c r="T1257" s="84"/>
      <c r="U1257" s="84"/>
      <c r="V1257" s="84"/>
      <c r="W1257" s="84"/>
      <c r="Y1257" s="84"/>
      <c r="Z1257" s="84"/>
      <c r="AA1257" s="84"/>
      <c r="AB1257" s="84"/>
      <c r="AC1257" s="84"/>
      <c r="AD1257" s="84"/>
      <c r="AE1257" s="84"/>
      <c r="AF1257" s="84"/>
      <c r="AG1257" s="84"/>
      <c r="AH1257" s="84"/>
      <c r="AI1257" s="84"/>
      <c r="AL1257" s="84"/>
      <c r="AM1257" s="84"/>
      <c r="AN1257" s="84"/>
      <c r="AO1257" s="84"/>
      <c r="AP1257" s="84"/>
      <c r="AQ1257" s="84"/>
      <c r="AR1257" s="84"/>
      <c r="AS1257" s="84"/>
      <c r="AT1257" s="84"/>
      <c r="AU1257" s="84"/>
      <c r="AV1257" s="84"/>
      <c r="AY1257" s="84"/>
      <c r="AZ1257" s="84"/>
      <c r="BA1257" s="84"/>
      <c r="BB1257" s="84"/>
      <c r="BC1257" s="84"/>
      <c r="BD1257" s="84"/>
      <c r="BE1257" s="84"/>
      <c r="BF1257" s="942"/>
      <c r="BG1257" s="942"/>
      <c r="BH1257" s="942"/>
      <c r="BI1257" s="84"/>
      <c r="BL1257" s="84"/>
      <c r="BM1257" s="84"/>
      <c r="BN1257" s="84"/>
      <c r="BO1257" s="84"/>
      <c r="BP1257" s="84"/>
      <c r="BQ1257" s="84"/>
      <c r="BR1257" s="84"/>
      <c r="BS1257" s="942"/>
      <c r="BT1257" s="942"/>
      <c r="BU1257" s="942"/>
      <c r="BV1257" s="84"/>
    </row>
    <row r="1258" spans="14:74" ht="14.25">
      <c r="N1258" s="84"/>
      <c r="O1258" s="84"/>
      <c r="P1258" s="84"/>
      <c r="Q1258" s="84"/>
      <c r="R1258" s="84"/>
      <c r="S1258" s="84"/>
      <c r="T1258" s="84"/>
      <c r="U1258" s="84"/>
      <c r="V1258" s="84"/>
      <c r="W1258" s="84"/>
      <c r="Y1258" s="84"/>
      <c r="Z1258" s="84"/>
      <c r="AA1258" s="84"/>
      <c r="AB1258" s="84"/>
      <c r="AC1258" s="84"/>
      <c r="AD1258" s="84"/>
      <c r="AE1258" s="84"/>
      <c r="AF1258" s="84"/>
      <c r="AG1258" s="84"/>
      <c r="AH1258" s="84"/>
      <c r="AI1258" s="84"/>
      <c r="AL1258" s="84"/>
      <c r="AM1258" s="84"/>
      <c r="AN1258" s="84"/>
      <c r="AO1258" s="84"/>
      <c r="AP1258" s="84"/>
      <c r="AQ1258" s="84"/>
      <c r="AR1258" s="84"/>
      <c r="AS1258" s="84"/>
      <c r="AT1258" s="84"/>
      <c r="AU1258" s="84"/>
      <c r="AV1258" s="84"/>
      <c r="AY1258" s="84"/>
      <c r="AZ1258" s="84"/>
      <c r="BA1258" s="84"/>
      <c r="BB1258" s="84"/>
      <c r="BC1258" s="84"/>
      <c r="BD1258" s="84"/>
      <c r="BE1258" s="84"/>
      <c r="BF1258" s="942"/>
      <c r="BG1258" s="942"/>
      <c r="BH1258" s="942"/>
      <c r="BI1258" s="84"/>
      <c r="BL1258" s="84"/>
      <c r="BM1258" s="84"/>
      <c r="BN1258" s="84"/>
      <c r="BO1258" s="84"/>
      <c r="BP1258" s="84"/>
      <c r="BQ1258" s="84"/>
      <c r="BR1258" s="84"/>
      <c r="BS1258" s="942"/>
      <c r="BT1258" s="942"/>
      <c r="BU1258" s="942"/>
      <c r="BV1258" s="84"/>
    </row>
    <row r="1259" spans="14:74" ht="14.25">
      <c r="N1259" s="84"/>
      <c r="O1259" s="84"/>
      <c r="P1259" s="84"/>
      <c r="Q1259" s="84"/>
      <c r="R1259" s="84"/>
      <c r="S1259" s="84"/>
      <c r="T1259" s="84"/>
      <c r="U1259" s="84"/>
      <c r="V1259" s="84"/>
      <c r="W1259" s="84"/>
      <c r="Y1259" s="84"/>
      <c r="Z1259" s="84"/>
      <c r="AA1259" s="84"/>
      <c r="AB1259" s="84"/>
      <c r="AC1259" s="84"/>
      <c r="AD1259" s="84"/>
      <c r="AE1259" s="84"/>
      <c r="AF1259" s="84"/>
      <c r="AG1259" s="84"/>
      <c r="AH1259" s="84"/>
      <c r="AI1259" s="84"/>
      <c r="AL1259" s="84"/>
      <c r="AM1259" s="84"/>
      <c r="AN1259" s="84"/>
      <c r="AO1259" s="84"/>
      <c r="AP1259" s="84"/>
      <c r="AQ1259" s="84"/>
      <c r="AR1259" s="84"/>
      <c r="AS1259" s="84"/>
      <c r="AT1259" s="84"/>
      <c r="AU1259" s="84"/>
      <c r="AV1259" s="84"/>
      <c r="AY1259" s="84"/>
      <c r="AZ1259" s="84"/>
      <c r="BA1259" s="84"/>
      <c r="BB1259" s="84"/>
      <c r="BC1259" s="84"/>
      <c r="BD1259" s="84"/>
      <c r="BE1259" s="84"/>
      <c r="BF1259" s="942"/>
      <c r="BG1259" s="942"/>
      <c r="BH1259" s="942"/>
      <c r="BI1259" s="84"/>
      <c r="BL1259" s="84"/>
      <c r="BM1259" s="84"/>
      <c r="BN1259" s="84"/>
      <c r="BO1259" s="84"/>
      <c r="BP1259" s="84"/>
      <c r="BQ1259" s="84"/>
      <c r="BR1259" s="84"/>
      <c r="BS1259" s="942"/>
      <c r="BT1259" s="942"/>
      <c r="BU1259" s="942"/>
      <c r="BV1259" s="84"/>
    </row>
    <row r="1260" spans="14:74" ht="14.25">
      <c r="N1260" s="84"/>
      <c r="O1260" s="84"/>
      <c r="P1260" s="84"/>
      <c r="Q1260" s="84"/>
      <c r="R1260" s="84"/>
      <c r="S1260" s="84"/>
      <c r="T1260" s="84"/>
      <c r="U1260" s="84"/>
      <c r="V1260" s="84"/>
      <c r="W1260" s="84"/>
      <c r="Y1260" s="84"/>
      <c r="Z1260" s="84"/>
      <c r="AA1260" s="84"/>
      <c r="AB1260" s="84"/>
      <c r="AC1260" s="84"/>
      <c r="AD1260" s="84"/>
      <c r="AE1260" s="84"/>
      <c r="AF1260" s="84"/>
      <c r="AG1260" s="84"/>
      <c r="AH1260" s="84"/>
      <c r="AI1260" s="84"/>
      <c r="AL1260" s="84"/>
      <c r="AM1260" s="84"/>
      <c r="AN1260" s="84"/>
      <c r="AO1260" s="84"/>
      <c r="AP1260" s="84"/>
      <c r="AQ1260" s="84"/>
      <c r="AR1260" s="84"/>
      <c r="AS1260" s="84"/>
      <c r="AT1260" s="84"/>
      <c r="AU1260" s="84"/>
      <c r="AV1260" s="84"/>
      <c r="AY1260" s="84"/>
      <c r="AZ1260" s="84"/>
      <c r="BA1260" s="84"/>
      <c r="BB1260" s="84"/>
      <c r="BC1260" s="84"/>
      <c r="BD1260" s="84"/>
      <c r="BE1260" s="84"/>
      <c r="BF1260" s="942"/>
      <c r="BG1260" s="942"/>
      <c r="BH1260" s="942"/>
      <c r="BI1260" s="84"/>
      <c r="BL1260" s="84"/>
      <c r="BM1260" s="84"/>
      <c r="BN1260" s="84"/>
      <c r="BO1260" s="84"/>
      <c r="BP1260" s="84"/>
      <c r="BQ1260" s="84"/>
      <c r="BR1260" s="84"/>
      <c r="BS1260" s="942"/>
      <c r="BT1260" s="942"/>
      <c r="BU1260" s="942"/>
      <c r="BV1260" s="84"/>
    </row>
    <row r="1261" spans="14:74" ht="14.25">
      <c r="N1261" s="84"/>
      <c r="O1261" s="84"/>
      <c r="P1261" s="84"/>
      <c r="Q1261" s="84"/>
      <c r="R1261" s="84"/>
      <c r="S1261" s="84"/>
      <c r="T1261" s="84"/>
      <c r="U1261" s="84"/>
      <c r="V1261" s="84"/>
      <c r="W1261" s="84"/>
      <c r="Y1261" s="84"/>
      <c r="Z1261" s="84"/>
      <c r="AA1261" s="84"/>
      <c r="AB1261" s="84"/>
      <c r="AC1261" s="84"/>
      <c r="AD1261" s="84"/>
      <c r="AE1261" s="84"/>
      <c r="AF1261" s="84"/>
      <c r="AG1261" s="84"/>
      <c r="AH1261" s="84"/>
      <c r="AI1261" s="84"/>
      <c r="AL1261" s="84"/>
      <c r="AM1261" s="84"/>
      <c r="AN1261" s="84"/>
      <c r="AO1261" s="84"/>
      <c r="AP1261" s="84"/>
      <c r="AQ1261" s="84"/>
      <c r="AR1261" s="84"/>
      <c r="AS1261" s="84"/>
      <c r="AT1261" s="84"/>
      <c r="AU1261" s="84"/>
      <c r="AV1261" s="84"/>
      <c r="AY1261" s="84"/>
      <c r="AZ1261" s="84"/>
      <c r="BA1261" s="84"/>
      <c r="BB1261" s="84"/>
      <c r="BC1261" s="84"/>
      <c r="BD1261" s="84"/>
      <c r="BE1261" s="84"/>
      <c r="BF1261" s="942"/>
      <c r="BG1261" s="942"/>
      <c r="BH1261" s="942"/>
      <c r="BI1261" s="84"/>
      <c r="BL1261" s="84"/>
      <c r="BM1261" s="84"/>
      <c r="BN1261" s="84"/>
      <c r="BO1261" s="84"/>
      <c r="BP1261" s="84"/>
      <c r="BQ1261" s="84"/>
      <c r="BR1261" s="84"/>
      <c r="BS1261" s="942"/>
      <c r="BT1261" s="942"/>
      <c r="BU1261" s="942"/>
      <c r="BV1261" s="84"/>
    </row>
    <row r="1262" spans="14:74" ht="14.25">
      <c r="N1262" s="84"/>
      <c r="O1262" s="84"/>
      <c r="P1262" s="84"/>
      <c r="Q1262" s="84"/>
      <c r="R1262" s="84"/>
      <c r="S1262" s="84"/>
      <c r="T1262" s="84"/>
      <c r="U1262" s="84"/>
      <c r="V1262" s="84"/>
      <c r="W1262" s="84"/>
      <c r="Y1262" s="84"/>
      <c r="Z1262" s="84"/>
      <c r="AA1262" s="84"/>
      <c r="AB1262" s="84"/>
      <c r="AC1262" s="84"/>
      <c r="AD1262" s="84"/>
      <c r="AE1262" s="84"/>
      <c r="AF1262" s="84"/>
      <c r="AG1262" s="84"/>
      <c r="AH1262" s="84"/>
      <c r="AI1262" s="84"/>
      <c r="AL1262" s="84"/>
      <c r="AM1262" s="84"/>
      <c r="AN1262" s="84"/>
      <c r="AO1262" s="84"/>
      <c r="AP1262" s="84"/>
      <c r="AQ1262" s="84"/>
      <c r="AR1262" s="84"/>
      <c r="AS1262" s="84"/>
      <c r="AT1262" s="84"/>
      <c r="AU1262" s="84"/>
      <c r="AV1262" s="84"/>
      <c r="AY1262" s="84"/>
      <c r="AZ1262" s="84"/>
      <c r="BA1262" s="84"/>
      <c r="BB1262" s="84"/>
      <c r="BC1262" s="84"/>
      <c r="BD1262" s="84"/>
      <c r="BE1262" s="84"/>
      <c r="BF1262" s="942"/>
      <c r="BG1262" s="942"/>
      <c r="BH1262" s="942"/>
      <c r="BI1262" s="84"/>
      <c r="BL1262" s="84"/>
      <c r="BM1262" s="84"/>
      <c r="BN1262" s="84"/>
      <c r="BO1262" s="84"/>
      <c r="BP1262" s="84"/>
      <c r="BQ1262" s="84"/>
      <c r="BR1262" s="84"/>
      <c r="BS1262" s="942"/>
      <c r="BT1262" s="942"/>
      <c r="BU1262" s="942"/>
      <c r="BV1262" s="84"/>
    </row>
    <row r="1263" spans="14:74" ht="14.25">
      <c r="N1263" s="84"/>
      <c r="O1263" s="84"/>
      <c r="P1263" s="84"/>
      <c r="Q1263" s="84"/>
      <c r="R1263" s="84"/>
      <c r="S1263" s="84"/>
      <c r="T1263" s="84"/>
      <c r="U1263" s="84"/>
      <c r="V1263" s="84"/>
      <c r="W1263" s="84"/>
      <c r="Y1263" s="84"/>
      <c r="Z1263" s="84"/>
      <c r="AA1263" s="84"/>
      <c r="AB1263" s="84"/>
      <c r="AC1263" s="84"/>
      <c r="AD1263" s="84"/>
      <c r="AE1263" s="84"/>
      <c r="AF1263" s="84"/>
      <c r="AG1263" s="84"/>
      <c r="AH1263" s="84"/>
      <c r="AI1263" s="84"/>
      <c r="AL1263" s="84"/>
      <c r="AM1263" s="84"/>
      <c r="AN1263" s="84"/>
      <c r="AO1263" s="84"/>
      <c r="AP1263" s="84"/>
      <c r="AQ1263" s="84"/>
      <c r="AR1263" s="84"/>
      <c r="AS1263" s="84"/>
      <c r="AT1263" s="84"/>
      <c r="AU1263" s="84"/>
      <c r="AV1263" s="84"/>
      <c r="AY1263" s="84"/>
      <c r="AZ1263" s="84"/>
      <c r="BA1263" s="84"/>
      <c r="BB1263" s="84"/>
      <c r="BC1263" s="84"/>
      <c r="BD1263" s="84"/>
      <c r="BE1263" s="84"/>
      <c r="BF1263" s="942"/>
      <c r="BG1263" s="942"/>
      <c r="BH1263" s="942"/>
      <c r="BI1263" s="84"/>
      <c r="BL1263" s="84"/>
      <c r="BM1263" s="84"/>
      <c r="BN1263" s="84"/>
      <c r="BO1263" s="84"/>
      <c r="BP1263" s="84"/>
      <c r="BQ1263" s="84"/>
      <c r="BR1263" s="84"/>
      <c r="BS1263" s="942"/>
      <c r="BT1263" s="942"/>
      <c r="BU1263" s="942"/>
      <c r="BV1263" s="84"/>
    </row>
    <row r="1264" spans="14:74" ht="14.25">
      <c r="N1264" s="84"/>
      <c r="O1264" s="84"/>
      <c r="P1264" s="84"/>
      <c r="Q1264" s="84"/>
      <c r="R1264" s="84"/>
      <c r="S1264" s="84"/>
      <c r="T1264" s="84"/>
      <c r="U1264" s="84"/>
      <c r="V1264" s="84"/>
      <c r="W1264" s="84"/>
      <c r="Y1264" s="84"/>
      <c r="Z1264" s="84"/>
      <c r="AA1264" s="84"/>
      <c r="AB1264" s="84"/>
      <c r="AC1264" s="84"/>
      <c r="AD1264" s="84"/>
      <c r="AE1264" s="84"/>
      <c r="AF1264" s="84"/>
      <c r="AG1264" s="84"/>
      <c r="AH1264" s="84"/>
      <c r="AI1264" s="84"/>
      <c r="AL1264" s="84"/>
      <c r="AM1264" s="84"/>
      <c r="AN1264" s="84"/>
      <c r="AO1264" s="84"/>
      <c r="AP1264" s="84"/>
      <c r="AQ1264" s="84"/>
      <c r="AR1264" s="84"/>
      <c r="AS1264" s="84"/>
      <c r="AT1264" s="84"/>
      <c r="AU1264" s="84"/>
      <c r="AV1264" s="84"/>
      <c r="AY1264" s="84"/>
      <c r="AZ1264" s="84"/>
      <c r="BA1264" s="84"/>
      <c r="BB1264" s="84"/>
      <c r="BC1264" s="84"/>
      <c r="BD1264" s="84"/>
      <c r="BE1264" s="84"/>
      <c r="BF1264" s="942"/>
      <c r="BG1264" s="942"/>
      <c r="BH1264" s="942"/>
      <c r="BI1264" s="84"/>
      <c r="BL1264" s="84"/>
      <c r="BM1264" s="84"/>
      <c r="BN1264" s="84"/>
      <c r="BO1264" s="84"/>
      <c r="BP1264" s="84"/>
      <c r="BQ1264" s="84"/>
      <c r="BR1264" s="84"/>
      <c r="BS1264" s="942"/>
      <c r="BT1264" s="942"/>
      <c r="BU1264" s="942"/>
      <c r="BV1264" s="84"/>
    </row>
    <row r="1265" spans="14:74" ht="14.25">
      <c r="N1265" s="84"/>
      <c r="O1265" s="84"/>
      <c r="P1265" s="84"/>
      <c r="Q1265" s="84"/>
      <c r="R1265" s="84"/>
      <c r="S1265" s="84"/>
      <c r="T1265" s="84"/>
      <c r="U1265" s="84"/>
      <c r="V1265" s="84"/>
      <c r="W1265" s="84"/>
      <c r="Y1265" s="84"/>
      <c r="Z1265" s="84"/>
      <c r="AA1265" s="84"/>
      <c r="AB1265" s="84"/>
      <c r="AC1265" s="84"/>
      <c r="AD1265" s="84"/>
      <c r="AE1265" s="84"/>
      <c r="AF1265" s="84"/>
      <c r="AG1265" s="84"/>
      <c r="AH1265" s="84"/>
      <c r="AI1265" s="84"/>
      <c r="AL1265" s="84"/>
      <c r="AM1265" s="84"/>
      <c r="AN1265" s="84"/>
      <c r="AO1265" s="84"/>
      <c r="AP1265" s="84"/>
      <c r="AQ1265" s="84"/>
      <c r="AR1265" s="84"/>
      <c r="AS1265" s="84"/>
      <c r="AT1265" s="84"/>
      <c r="AU1265" s="84"/>
      <c r="AV1265" s="84"/>
      <c r="AY1265" s="84"/>
      <c r="AZ1265" s="84"/>
      <c r="BA1265" s="84"/>
      <c r="BB1265" s="84"/>
      <c r="BC1265" s="84"/>
      <c r="BD1265" s="84"/>
      <c r="BE1265" s="84"/>
      <c r="BF1265" s="942"/>
      <c r="BG1265" s="942"/>
      <c r="BH1265" s="942"/>
      <c r="BI1265" s="84"/>
      <c r="BL1265" s="84"/>
      <c r="BM1265" s="84"/>
      <c r="BN1265" s="84"/>
      <c r="BO1265" s="84"/>
      <c r="BP1265" s="84"/>
      <c r="BQ1265" s="84"/>
      <c r="BR1265" s="84"/>
      <c r="BS1265" s="942"/>
      <c r="BT1265" s="942"/>
      <c r="BU1265" s="942"/>
      <c r="BV1265" s="84"/>
    </row>
    <row r="1266" spans="14:74" ht="14.25">
      <c r="N1266" s="84"/>
      <c r="O1266" s="84"/>
      <c r="P1266" s="84"/>
      <c r="Q1266" s="84"/>
      <c r="R1266" s="84"/>
      <c r="S1266" s="84"/>
      <c r="T1266" s="84"/>
      <c r="U1266" s="84"/>
      <c r="V1266" s="84"/>
      <c r="W1266" s="84"/>
      <c r="Y1266" s="84"/>
      <c r="Z1266" s="84"/>
      <c r="AA1266" s="84"/>
      <c r="AB1266" s="84"/>
      <c r="AC1266" s="84"/>
      <c r="AD1266" s="84"/>
      <c r="AE1266" s="84"/>
      <c r="AF1266" s="84"/>
      <c r="AG1266" s="84"/>
      <c r="AH1266" s="84"/>
      <c r="AI1266" s="84"/>
      <c r="AL1266" s="84"/>
      <c r="AM1266" s="84"/>
      <c r="AN1266" s="84"/>
      <c r="AO1266" s="84"/>
      <c r="AP1266" s="84"/>
      <c r="AQ1266" s="84"/>
      <c r="AR1266" s="84"/>
      <c r="AS1266" s="84"/>
      <c r="AT1266" s="84"/>
      <c r="AU1266" s="84"/>
      <c r="AV1266" s="84"/>
      <c r="AY1266" s="84"/>
      <c r="AZ1266" s="84"/>
      <c r="BA1266" s="84"/>
      <c r="BB1266" s="84"/>
      <c r="BC1266" s="84"/>
      <c r="BD1266" s="84"/>
      <c r="BE1266" s="84"/>
      <c r="BF1266" s="942"/>
      <c r="BG1266" s="942"/>
      <c r="BH1266" s="942"/>
      <c r="BI1266" s="84"/>
      <c r="BL1266" s="84"/>
      <c r="BM1266" s="84"/>
      <c r="BN1266" s="84"/>
      <c r="BO1266" s="84"/>
      <c r="BP1266" s="84"/>
      <c r="BQ1266" s="84"/>
      <c r="BR1266" s="84"/>
      <c r="BS1266" s="942"/>
      <c r="BT1266" s="942"/>
      <c r="BU1266" s="942"/>
      <c r="BV1266" s="84"/>
    </row>
    <row r="1267" spans="14:74" ht="14.25">
      <c r="N1267" s="84"/>
      <c r="O1267" s="84"/>
      <c r="P1267" s="84"/>
      <c r="Q1267" s="84"/>
      <c r="R1267" s="84"/>
      <c r="S1267" s="84"/>
      <c r="T1267" s="84"/>
      <c r="U1267" s="84"/>
      <c r="V1267" s="84"/>
      <c r="W1267" s="84"/>
      <c r="Y1267" s="84"/>
      <c r="Z1267" s="84"/>
      <c r="AA1267" s="84"/>
      <c r="AB1267" s="84"/>
      <c r="AC1267" s="84"/>
      <c r="AD1267" s="84"/>
      <c r="AE1267" s="84"/>
      <c r="AF1267" s="84"/>
      <c r="AG1267" s="84"/>
      <c r="AH1267" s="84"/>
      <c r="AI1267" s="84"/>
      <c r="AL1267" s="84"/>
      <c r="AM1267" s="84"/>
      <c r="AN1267" s="84"/>
      <c r="AO1267" s="84"/>
      <c r="AP1267" s="84"/>
      <c r="AQ1267" s="84"/>
      <c r="AR1267" s="84"/>
      <c r="AS1267" s="84"/>
      <c r="AT1267" s="84"/>
      <c r="AU1267" s="84"/>
      <c r="AV1267" s="84"/>
      <c r="AY1267" s="84"/>
      <c r="AZ1267" s="84"/>
      <c r="BA1267" s="84"/>
      <c r="BB1267" s="84"/>
      <c r="BC1267" s="84"/>
      <c r="BD1267" s="84"/>
      <c r="BE1267" s="84"/>
      <c r="BF1267" s="942"/>
      <c r="BG1267" s="942"/>
      <c r="BH1267" s="942"/>
      <c r="BI1267" s="84"/>
      <c r="BL1267" s="84"/>
      <c r="BM1267" s="84"/>
      <c r="BN1267" s="84"/>
      <c r="BO1267" s="84"/>
      <c r="BP1267" s="84"/>
      <c r="BQ1267" s="84"/>
      <c r="BR1267" s="84"/>
      <c r="BS1267" s="942"/>
      <c r="BT1267" s="942"/>
      <c r="BU1267" s="942"/>
      <c r="BV1267" s="84"/>
    </row>
    <row r="1268" spans="14:74" ht="14.25">
      <c r="N1268" s="84"/>
      <c r="O1268" s="84"/>
      <c r="P1268" s="84"/>
      <c r="Q1268" s="84"/>
      <c r="R1268" s="84"/>
      <c r="S1268" s="84"/>
      <c r="T1268" s="84"/>
      <c r="U1268" s="84"/>
      <c r="V1268" s="84"/>
      <c r="W1268" s="84"/>
      <c r="Y1268" s="84"/>
      <c r="Z1268" s="84"/>
      <c r="AA1268" s="84"/>
      <c r="AB1268" s="84"/>
      <c r="AC1268" s="84"/>
      <c r="AD1268" s="84"/>
      <c r="AE1268" s="84"/>
      <c r="AF1268" s="84"/>
      <c r="AG1268" s="84"/>
      <c r="AH1268" s="84"/>
      <c r="AI1268" s="84"/>
      <c r="AL1268" s="84"/>
      <c r="AM1268" s="84"/>
      <c r="AN1268" s="84"/>
      <c r="AO1268" s="84"/>
      <c r="AP1268" s="84"/>
      <c r="AQ1268" s="84"/>
      <c r="AR1268" s="84"/>
      <c r="AS1268" s="84"/>
      <c r="AT1268" s="84"/>
      <c r="AU1268" s="84"/>
      <c r="AV1268" s="84"/>
      <c r="AY1268" s="84"/>
      <c r="AZ1268" s="84"/>
      <c r="BA1268" s="84"/>
      <c r="BB1268" s="84"/>
      <c r="BC1268" s="84"/>
      <c r="BD1268" s="84"/>
      <c r="BE1268" s="84"/>
      <c r="BF1268" s="942"/>
      <c r="BG1268" s="942"/>
      <c r="BH1268" s="942"/>
      <c r="BI1268" s="84"/>
      <c r="BL1268" s="84"/>
      <c r="BM1268" s="84"/>
      <c r="BN1268" s="84"/>
      <c r="BO1268" s="84"/>
      <c r="BP1268" s="84"/>
      <c r="BQ1268" s="84"/>
      <c r="BR1268" s="84"/>
      <c r="BS1268" s="942"/>
      <c r="BT1268" s="942"/>
      <c r="BU1268" s="942"/>
      <c r="BV1268" s="84"/>
    </row>
    <row r="1269" spans="14:74" ht="14.25">
      <c r="N1269" s="84"/>
      <c r="O1269" s="84"/>
      <c r="P1269" s="84"/>
      <c r="Q1269" s="84"/>
      <c r="R1269" s="84"/>
      <c r="S1269" s="84"/>
      <c r="T1269" s="84"/>
      <c r="U1269" s="84"/>
      <c r="V1269" s="84"/>
      <c r="W1269" s="84"/>
      <c r="Y1269" s="84"/>
      <c r="Z1269" s="84"/>
      <c r="AA1269" s="84"/>
      <c r="AB1269" s="84"/>
      <c r="AC1269" s="84"/>
      <c r="AD1269" s="84"/>
      <c r="AE1269" s="84"/>
      <c r="AF1269" s="84"/>
      <c r="AG1269" s="84"/>
      <c r="AH1269" s="84"/>
      <c r="AI1269" s="84"/>
      <c r="AL1269" s="84"/>
      <c r="AM1269" s="84"/>
      <c r="AN1269" s="84"/>
      <c r="AO1269" s="84"/>
      <c r="AP1269" s="84"/>
      <c r="AQ1269" s="84"/>
      <c r="AR1269" s="84"/>
      <c r="AS1269" s="84"/>
      <c r="AT1269" s="84"/>
      <c r="AU1269" s="84"/>
      <c r="AV1269" s="84"/>
      <c r="AY1269" s="84"/>
      <c r="AZ1269" s="84"/>
      <c r="BA1269" s="84"/>
      <c r="BB1269" s="84"/>
      <c r="BC1269" s="84"/>
      <c r="BD1269" s="84"/>
      <c r="BE1269" s="84"/>
      <c r="BF1269" s="942"/>
      <c r="BG1269" s="942"/>
      <c r="BH1269" s="942"/>
      <c r="BI1269" s="84"/>
      <c r="BL1269" s="84"/>
      <c r="BM1269" s="84"/>
      <c r="BN1269" s="84"/>
      <c r="BO1269" s="84"/>
      <c r="BP1269" s="84"/>
      <c r="BQ1269" s="84"/>
      <c r="BR1269" s="84"/>
      <c r="BS1269" s="942"/>
      <c r="BT1269" s="942"/>
      <c r="BU1269" s="942"/>
      <c r="BV1269" s="84"/>
    </row>
    <row r="1270" spans="14:74" ht="14.25">
      <c r="N1270" s="84"/>
      <c r="O1270" s="84"/>
      <c r="P1270" s="84"/>
      <c r="Q1270" s="84"/>
      <c r="R1270" s="84"/>
      <c r="S1270" s="84"/>
      <c r="T1270" s="84"/>
      <c r="U1270" s="84"/>
      <c r="V1270" s="84"/>
      <c r="W1270" s="84"/>
      <c r="Y1270" s="84"/>
      <c r="Z1270" s="84"/>
      <c r="AA1270" s="84"/>
      <c r="AB1270" s="84"/>
      <c r="AC1270" s="84"/>
      <c r="AD1270" s="84"/>
      <c r="AE1270" s="84"/>
      <c r="AF1270" s="84"/>
      <c r="AG1270" s="84"/>
      <c r="AH1270" s="84"/>
      <c r="AI1270" s="84"/>
      <c r="AL1270" s="84"/>
      <c r="AM1270" s="84"/>
      <c r="AN1270" s="84"/>
      <c r="AO1270" s="84"/>
      <c r="AP1270" s="84"/>
      <c r="AQ1270" s="84"/>
      <c r="AR1270" s="84"/>
      <c r="AS1270" s="84"/>
      <c r="AT1270" s="84"/>
      <c r="AU1270" s="84"/>
      <c r="AV1270" s="84"/>
      <c r="AY1270" s="84"/>
      <c r="AZ1270" s="84"/>
      <c r="BA1270" s="84"/>
      <c r="BB1270" s="84"/>
      <c r="BC1270" s="84"/>
      <c r="BD1270" s="84"/>
      <c r="BE1270" s="84"/>
      <c r="BF1270" s="942"/>
      <c r="BG1270" s="942"/>
      <c r="BH1270" s="942"/>
      <c r="BI1270" s="84"/>
      <c r="BL1270" s="84"/>
      <c r="BM1270" s="84"/>
      <c r="BN1270" s="84"/>
      <c r="BO1270" s="84"/>
      <c r="BP1270" s="84"/>
      <c r="BQ1270" s="84"/>
      <c r="BR1270" s="84"/>
      <c r="BS1270" s="942"/>
      <c r="BT1270" s="942"/>
      <c r="BU1270" s="942"/>
      <c r="BV1270" s="84"/>
    </row>
    <row r="1271" spans="14:74" ht="14.25">
      <c r="N1271" s="84"/>
      <c r="O1271" s="84"/>
      <c r="P1271" s="84"/>
      <c r="Q1271" s="84"/>
      <c r="R1271" s="84"/>
      <c r="S1271" s="84"/>
      <c r="T1271" s="84"/>
      <c r="U1271" s="84"/>
      <c r="V1271" s="84"/>
      <c r="W1271" s="84"/>
      <c r="Y1271" s="84"/>
      <c r="Z1271" s="84"/>
      <c r="AA1271" s="84"/>
      <c r="AB1271" s="84"/>
      <c r="AC1271" s="84"/>
      <c r="AD1271" s="84"/>
      <c r="AE1271" s="84"/>
      <c r="AF1271" s="84"/>
      <c r="AG1271" s="84"/>
      <c r="AH1271" s="84"/>
      <c r="AI1271" s="84"/>
      <c r="AL1271" s="84"/>
      <c r="AM1271" s="84"/>
      <c r="AN1271" s="84"/>
      <c r="AO1271" s="84"/>
      <c r="AP1271" s="84"/>
      <c r="AQ1271" s="84"/>
      <c r="AR1271" s="84"/>
      <c r="AS1271" s="84"/>
      <c r="AT1271" s="84"/>
      <c r="AU1271" s="84"/>
      <c r="AV1271" s="84"/>
      <c r="AY1271" s="84"/>
      <c r="AZ1271" s="84"/>
      <c r="BA1271" s="84"/>
      <c r="BB1271" s="84"/>
      <c r="BC1271" s="84"/>
      <c r="BD1271" s="84"/>
      <c r="BE1271" s="84"/>
      <c r="BF1271" s="942"/>
      <c r="BG1271" s="942"/>
      <c r="BH1271" s="942"/>
      <c r="BI1271" s="84"/>
      <c r="BL1271" s="84"/>
      <c r="BM1271" s="84"/>
      <c r="BN1271" s="84"/>
      <c r="BO1271" s="84"/>
      <c r="BP1271" s="84"/>
      <c r="BQ1271" s="84"/>
      <c r="BR1271" s="84"/>
      <c r="BS1271" s="942"/>
      <c r="BT1271" s="942"/>
      <c r="BU1271" s="942"/>
      <c r="BV1271" s="84"/>
    </row>
    <row r="1272" spans="14:74" ht="14.25">
      <c r="N1272" s="84"/>
      <c r="O1272" s="84"/>
      <c r="P1272" s="84"/>
      <c r="Q1272" s="84"/>
      <c r="R1272" s="84"/>
      <c r="S1272" s="84"/>
      <c r="T1272" s="84"/>
      <c r="U1272" s="84"/>
      <c r="V1272" s="84"/>
      <c r="W1272" s="84"/>
      <c r="Y1272" s="84"/>
      <c r="Z1272" s="84"/>
      <c r="AA1272" s="84"/>
      <c r="AB1272" s="84"/>
      <c r="AC1272" s="84"/>
      <c r="AD1272" s="84"/>
      <c r="AE1272" s="84"/>
      <c r="AF1272" s="84"/>
      <c r="AG1272" s="84"/>
      <c r="AH1272" s="84"/>
      <c r="AI1272" s="84"/>
      <c r="AL1272" s="84"/>
      <c r="AM1272" s="84"/>
      <c r="AN1272" s="84"/>
      <c r="AO1272" s="84"/>
      <c r="AP1272" s="84"/>
      <c r="AQ1272" s="84"/>
      <c r="AR1272" s="84"/>
      <c r="AS1272" s="84"/>
      <c r="AT1272" s="84"/>
      <c r="AU1272" s="84"/>
      <c r="AV1272" s="84"/>
      <c r="AY1272" s="84"/>
      <c r="AZ1272" s="84"/>
      <c r="BA1272" s="84"/>
      <c r="BB1272" s="84"/>
      <c r="BC1272" s="84"/>
      <c r="BD1272" s="84"/>
      <c r="BE1272" s="84"/>
      <c r="BF1272" s="942"/>
      <c r="BG1272" s="942"/>
      <c r="BH1272" s="942"/>
      <c r="BI1272" s="84"/>
      <c r="BL1272" s="84"/>
      <c r="BM1272" s="84"/>
      <c r="BN1272" s="84"/>
      <c r="BO1272" s="84"/>
      <c r="BP1272" s="84"/>
      <c r="BQ1272" s="84"/>
      <c r="BR1272" s="84"/>
      <c r="BS1272" s="942"/>
      <c r="BT1272" s="942"/>
      <c r="BU1272" s="942"/>
      <c r="BV1272" s="84"/>
    </row>
    <row r="1273" spans="14:74" ht="14.25">
      <c r="N1273" s="84"/>
      <c r="O1273" s="84"/>
      <c r="P1273" s="84"/>
      <c r="Q1273" s="84"/>
      <c r="R1273" s="84"/>
      <c r="S1273" s="84"/>
      <c r="T1273" s="84"/>
      <c r="U1273" s="84"/>
      <c r="V1273" s="84"/>
      <c r="W1273" s="84"/>
      <c r="Y1273" s="84"/>
      <c r="Z1273" s="84"/>
      <c r="AA1273" s="84"/>
      <c r="AB1273" s="84"/>
      <c r="AC1273" s="84"/>
      <c r="AD1273" s="84"/>
      <c r="AE1273" s="84"/>
      <c r="AF1273" s="84"/>
      <c r="AG1273" s="84"/>
      <c r="AH1273" s="84"/>
      <c r="AI1273" s="84"/>
      <c r="AL1273" s="84"/>
      <c r="AM1273" s="84"/>
      <c r="AN1273" s="84"/>
      <c r="AO1273" s="84"/>
      <c r="AP1273" s="84"/>
      <c r="AQ1273" s="84"/>
      <c r="AR1273" s="84"/>
      <c r="AS1273" s="84"/>
      <c r="AT1273" s="84"/>
      <c r="AU1273" s="84"/>
      <c r="AV1273" s="84"/>
      <c r="AY1273" s="84"/>
      <c r="AZ1273" s="84"/>
      <c r="BA1273" s="84"/>
      <c r="BB1273" s="84"/>
      <c r="BC1273" s="84"/>
      <c r="BD1273" s="84"/>
      <c r="BE1273" s="84"/>
      <c r="BF1273" s="942"/>
      <c r="BG1273" s="942"/>
      <c r="BH1273" s="942"/>
      <c r="BI1273" s="84"/>
      <c r="BL1273" s="84"/>
      <c r="BM1273" s="84"/>
      <c r="BN1273" s="84"/>
      <c r="BO1273" s="84"/>
      <c r="BP1273" s="84"/>
      <c r="BQ1273" s="84"/>
      <c r="BR1273" s="84"/>
      <c r="BS1273" s="942"/>
      <c r="BT1273" s="942"/>
      <c r="BU1273" s="942"/>
      <c r="BV1273" s="84"/>
    </row>
    <row r="1274" spans="14:74" ht="14.25">
      <c r="N1274" s="84"/>
      <c r="O1274" s="84"/>
      <c r="P1274" s="84"/>
      <c r="Q1274" s="84"/>
      <c r="R1274" s="84"/>
      <c r="S1274" s="84"/>
      <c r="T1274" s="84"/>
      <c r="U1274" s="84"/>
      <c r="V1274" s="84"/>
      <c r="W1274" s="84"/>
      <c r="Y1274" s="84"/>
      <c r="Z1274" s="84"/>
      <c r="AA1274" s="84"/>
      <c r="AB1274" s="84"/>
      <c r="AC1274" s="84"/>
      <c r="AD1274" s="84"/>
      <c r="AE1274" s="84"/>
      <c r="AF1274" s="84"/>
      <c r="AG1274" s="84"/>
      <c r="AH1274" s="84"/>
      <c r="AI1274" s="84"/>
      <c r="AL1274" s="84"/>
      <c r="AM1274" s="84"/>
      <c r="AN1274" s="84"/>
      <c r="AO1274" s="84"/>
      <c r="AP1274" s="84"/>
      <c r="AQ1274" s="84"/>
      <c r="AR1274" s="84"/>
      <c r="AS1274" s="84"/>
      <c r="AT1274" s="84"/>
      <c r="AU1274" s="84"/>
      <c r="AV1274" s="84"/>
      <c r="AY1274" s="84"/>
      <c r="AZ1274" s="84"/>
      <c r="BA1274" s="84"/>
      <c r="BB1274" s="84"/>
      <c r="BC1274" s="84"/>
      <c r="BD1274" s="84"/>
      <c r="BE1274" s="84"/>
      <c r="BF1274" s="942"/>
      <c r="BG1274" s="942"/>
      <c r="BH1274" s="942"/>
      <c r="BI1274" s="84"/>
      <c r="BL1274" s="84"/>
      <c r="BM1274" s="84"/>
      <c r="BN1274" s="84"/>
      <c r="BO1274" s="84"/>
      <c r="BP1274" s="84"/>
      <c r="BQ1274" s="84"/>
      <c r="BR1274" s="84"/>
      <c r="BS1274" s="942"/>
      <c r="BT1274" s="942"/>
      <c r="BU1274" s="942"/>
      <c r="BV1274" s="84"/>
    </row>
    <row r="1275" spans="14:74" ht="14.25">
      <c r="N1275" s="84"/>
      <c r="O1275" s="84"/>
      <c r="P1275" s="84"/>
      <c r="Q1275" s="84"/>
      <c r="R1275" s="84"/>
      <c r="S1275" s="84"/>
      <c r="T1275" s="84"/>
      <c r="U1275" s="84"/>
      <c r="V1275" s="84"/>
      <c r="W1275" s="84"/>
      <c r="Y1275" s="84"/>
      <c r="Z1275" s="84"/>
      <c r="AA1275" s="84"/>
      <c r="AB1275" s="84"/>
      <c r="AC1275" s="84"/>
      <c r="AD1275" s="84"/>
      <c r="AE1275" s="84"/>
      <c r="AF1275" s="84"/>
      <c r="AG1275" s="84"/>
      <c r="AH1275" s="84"/>
      <c r="AI1275" s="84"/>
      <c r="AL1275" s="84"/>
      <c r="AM1275" s="84"/>
      <c r="AN1275" s="84"/>
      <c r="AO1275" s="84"/>
      <c r="AP1275" s="84"/>
      <c r="AQ1275" s="84"/>
      <c r="AR1275" s="84"/>
      <c r="AS1275" s="84"/>
      <c r="AT1275" s="84"/>
      <c r="AU1275" s="84"/>
      <c r="AV1275" s="84"/>
      <c r="AY1275" s="84"/>
      <c r="AZ1275" s="84"/>
      <c r="BA1275" s="84"/>
      <c r="BB1275" s="84"/>
      <c r="BC1275" s="84"/>
      <c r="BD1275" s="84"/>
      <c r="BE1275" s="84"/>
      <c r="BF1275" s="942"/>
      <c r="BG1275" s="942"/>
      <c r="BH1275" s="942"/>
      <c r="BI1275" s="84"/>
      <c r="BL1275" s="84"/>
      <c r="BM1275" s="84"/>
      <c r="BN1275" s="84"/>
      <c r="BO1275" s="84"/>
      <c r="BP1275" s="84"/>
      <c r="BQ1275" s="84"/>
      <c r="BR1275" s="84"/>
      <c r="BS1275" s="942"/>
      <c r="BT1275" s="942"/>
      <c r="BU1275" s="942"/>
      <c r="BV1275" s="84"/>
    </row>
    <row r="1276" spans="14:74" ht="14.25">
      <c r="N1276" s="84"/>
      <c r="O1276" s="84"/>
      <c r="P1276" s="84"/>
      <c r="Q1276" s="84"/>
      <c r="R1276" s="84"/>
      <c r="S1276" s="84"/>
      <c r="T1276" s="84"/>
      <c r="U1276" s="84"/>
      <c r="V1276" s="84"/>
      <c r="W1276" s="84"/>
      <c r="Y1276" s="84"/>
      <c r="Z1276" s="84"/>
      <c r="AA1276" s="84"/>
      <c r="AB1276" s="84"/>
      <c r="AC1276" s="84"/>
      <c r="AD1276" s="84"/>
      <c r="AE1276" s="84"/>
      <c r="AF1276" s="84"/>
      <c r="AG1276" s="84"/>
      <c r="AH1276" s="84"/>
      <c r="AI1276" s="84"/>
      <c r="AL1276" s="84"/>
      <c r="AM1276" s="84"/>
      <c r="AN1276" s="84"/>
      <c r="AO1276" s="84"/>
      <c r="AP1276" s="84"/>
      <c r="AQ1276" s="84"/>
      <c r="AR1276" s="84"/>
      <c r="AS1276" s="84"/>
      <c r="AT1276" s="84"/>
      <c r="AU1276" s="84"/>
      <c r="AV1276" s="84"/>
      <c r="AY1276" s="84"/>
      <c r="AZ1276" s="84"/>
      <c r="BA1276" s="84"/>
      <c r="BB1276" s="84"/>
      <c r="BC1276" s="84"/>
      <c r="BD1276" s="84"/>
      <c r="BE1276" s="84"/>
      <c r="BF1276" s="942"/>
      <c r="BG1276" s="942"/>
      <c r="BH1276" s="942"/>
      <c r="BI1276" s="84"/>
      <c r="BL1276" s="84"/>
      <c r="BM1276" s="84"/>
      <c r="BN1276" s="84"/>
      <c r="BO1276" s="84"/>
      <c r="BP1276" s="84"/>
      <c r="BQ1276" s="84"/>
      <c r="BR1276" s="84"/>
      <c r="BS1276" s="942"/>
      <c r="BT1276" s="942"/>
      <c r="BU1276" s="942"/>
      <c r="BV1276" s="84"/>
    </row>
    <row r="1277" spans="14:74" ht="14.25">
      <c r="N1277" s="84"/>
      <c r="O1277" s="84"/>
      <c r="P1277" s="84"/>
      <c r="Q1277" s="84"/>
      <c r="R1277" s="84"/>
      <c r="S1277" s="84"/>
      <c r="T1277" s="84"/>
      <c r="U1277" s="84"/>
      <c r="V1277" s="84"/>
      <c r="W1277" s="84"/>
      <c r="Y1277" s="84"/>
      <c r="Z1277" s="84"/>
      <c r="AA1277" s="84"/>
      <c r="AB1277" s="84"/>
      <c r="AC1277" s="84"/>
      <c r="AD1277" s="84"/>
      <c r="AE1277" s="84"/>
      <c r="AF1277" s="84"/>
      <c r="AG1277" s="84"/>
      <c r="AH1277" s="84"/>
      <c r="AI1277" s="84"/>
      <c r="AL1277" s="84"/>
      <c r="AM1277" s="84"/>
      <c r="AN1277" s="84"/>
      <c r="AO1277" s="84"/>
      <c r="AP1277" s="84"/>
      <c r="AQ1277" s="84"/>
      <c r="AR1277" s="84"/>
      <c r="AS1277" s="84"/>
      <c r="AT1277" s="84"/>
      <c r="AU1277" s="84"/>
      <c r="AV1277" s="84"/>
      <c r="AY1277" s="84"/>
      <c r="AZ1277" s="84"/>
      <c r="BA1277" s="84"/>
      <c r="BB1277" s="84"/>
      <c r="BC1277" s="84"/>
      <c r="BD1277" s="84"/>
      <c r="BE1277" s="84"/>
      <c r="BF1277" s="942"/>
      <c r="BG1277" s="942"/>
      <c r="BH1277" s="942"/>
      <c r="BI1277" s="84"/>
      <c r="BL1277" s="84"/>
      <c r="BM1277" s="84"/>
      <c r="BN1277" s="84"/>
      <c r="BO1277" s="84"/>
      <c r="BP1277" s="84"/>
      <c r="BQ1277" s="84"/>
      <c r="BR1277" s="84"/>
      <c r="BS1277" s="942"/>
      <c r="BT1277" s="942"/>
      <c r="BU1277" s="942"/>
      <c r="BV1277" s="84"/>
    </row>
    <row r="1278" spans="14:74" ht="14.25">
      <c r="N1278" s="84"/>
      <c r="O1278" s="84"/>
      <c r="P1278" s="84"/>
      <c r="Q1278" s="84"/>
      <c r="R1278" s="84"/>
      <c r="S1278" s="84"/>
      <c r="T1278" s="84"/>
      <c r="U1278" s="84"/>
      <c r="V1278" s="84"/>
      <c r="W1278" s="84"/>
      <c r="Y1278" s="84"/>
      <c r="Z1278" s="84"/>
      <c r="AA1278" s="84"/>
      <c r="AB1278" s="84"/>
      <c r="AC1278" s="84"/>
      <c r="AD1278" s="84"/>
      <c r="AE1278" s="84"/>
      <c r="AF1278" s="84"/>
      <c r="AG1278" s="84"/>
      <c r="AH1278" s="84"/>
      <c r="AI1278" s="84"/>
      <c r="AL1278" s="84"/>
      <c r="AM1278" s="84"/>
      <c r="AN1278" s="84"/>
      <c r="AO1278" s="84"/>
      <c r="AP1278" s="84"/>
      <c r="AQ1278" s="84"/>
      <c r="AR1278" s="84"/>
      <c r="AS1278" s="84"/>
      <c r="AT1278" s="84"/>
      <c r="AU1278" s="84"/>
      <c r="AV1278" s="84"/>
      <c r="AY1278" s="84"/>
      <c r="AZ1278" s="84"/>
      <c r="BA1278" s="84"/>
      <c r="BB1278" s="84"/>
      <c r="BC1278" s="84"/>
      <c r="BD1278" s="84"/>
      <c r="BE1278" s="84"/>
      <c r="BF1278" s="942"/>
      <c r="BG1278" s="942"/>
      <c r="BH1278" s="942"/>
      <c r="BI1278" s="84"/>
      <c r="BL1278" s="84"/>
      <c r="BM1278" s="84"/>
      <c r="BN1278" s="84"/>
      <c r="BO1278" s="84"/>
      <c r="BP1278" s="84"/>
      <c r="BQ1278" s="84"/>
      <c r="BR1278" s="84"/>
      <c r="BS1278" s="942"/>
      <c r="BT1278" s="942"/>
      <c r="BU1278" s="942"/>
      <c r="BV1278" s="84"/>
    </row>
    <row r="1279" spans="14:74" ht="14.25">
      <c r="N1279" s="84"/>
      <c r="O1279" s="84"/>
      <c r="P1279" s="84"/>
      <c r="Q1279" s="84"/>
      <c r="R1279" s="84"/>
      <c r="S1279" s="84"/>
      <c r="T1279" s="84"/>
      <c r="U1279" s="84"/>
      <c r="V1279" s="84"/>
      <c r="W1279" s="84"/>
      <c r="Y1279" s="84"/>
      <c r="Z1279" s="84"/>
      <c r="AA1279" s="84"/>
      <c r="AB1279" s="84"/>
      <c r="AC1279" s="84"/>
      <c r="AD1279" s="84"/>
      <c r="AE1279" s="84"/>
      <c r="AF1279" s="84"/>
      <c r="AG1279" s="84"/>
      <c r="AH1279" s="84"/>
      <c r="AI1279" s="84"/>
      <c r="AL1279" s="84"/>
      <c r="AM1279" s="84"/>
      <c r="AN1279" s="84"/>
      <c r="AO1279" s="84"/>
      <c r="AP1279" s="84"/>
      <c r="AQ1279" s="84"/>
      <c r="AR1279" s="84"/>
      <c r="AS1279" s="84"/>
      <c r="AT1279" s="84"/>
      <c r="AU1279" s="84"/>
      <c r="AV1279" s="84"/>
      <c r="AY1279" s="84"/>
      <c r="AZ1279" s="84"/>
      <c r="BA1279" s="84"/>
      <c r="BB1279" s="84"/>
      <c r="BC1279" s="84"/>
      <c r="BD1279" s="84"/>
      <c r="BE1279" s="84"/>
      <c r="BF1279" s="942"/>
      <c r="BG1279" s="942"/>
      <c r="BH1279" s="942"/>
      <c r="BI1279" s="84"/>
      <c r="BL1279" s="84"/>
      <c r="BM1279" s="84"/>
      <c r="BN1279" s="84"/>
      <c r="BO1279" s="84"/>
      <c r="BP1279" s="84"/>
      <c r="BQ1279" s="84"/>
      <c r="BR1279" s="84"/>
      <c r="BS1279" s="942"/>
      <c r="BT1279" s="942"/>
      <c r="BU1279" s="942"/>
      <c r="BV1279" s="84"/>
    </row>
    <row r="1280" spans="14:74" ht="14.25">
      <c r="N1280" s="84"/>
      <c r="O1280" s="84"/>
      <c r="P1280" s="84"/>
      <c r="Q1280" s="84"/>
      <c r="R1280" s="84"/>
      <c r="S1280" s="84"/>
      <c r="T1280" s="84"/>
      <c r="U1280" s="84"/>
      <c r="V1280" s="84"/>
      <c r="W1280" s="84"/>
      <c r="Y1280" s="84"/>
      <c r="Z1280" s="84"/>
      <c r="AA1280" s="84"/>
      <c r="AB1280" s="84"/>
      <c r="AC1280" s="84"/>
      <c r="AD1280" s="84"/>
      <c r="AE1280" s="84"/>
      <c r="AF1280" s="84"/>
      <c r="AG1280" s="84"/>
      <c r="AH1280" s="84"/>
      <c r="AI1280" s="84"/>
      <c r="AL1280" s="84"/>
      <c r="AM1280" s="84"/>
      <c r="AN1280" s="84"/>
      <c r="AO1280" s="84"/>
      <c r="AP1280" s="84"/>
      <c r="AQ1280" s="84"/>
      <c r="AR1280" s="84"/>
      <c r="AS1280" s="84"/>
      <c r="AT1280" s="84"/>
      <c r="AU1280" s="84"/>
      <c r="AV1280" s="84"/>
      <c r="AY1280" s="84"/>
      <c r="AZ1280" s="84"/>
      <c r="BA1280" s="84"/>
      <c r="BB1280" s="84"/>
      <c r="BC1280" s="84"/>
      <c r="BD1280" s="84"/>
      <c r="BE1280" s="84"/>
      <c r="BF1280" s="942"/>
      <c r="BG1280" s="942"/>
      <c r="BH1280" s="942"/>
      <c r="BI1280" s="84"/>
      <c r="BL1280" s="84"/>
      <c r="BM1280" s="84"/>
      <c r="BN1280" s="84"/>
      <c r="BO1280" s="84"/>
      <c r="BP1280" s="84"/>
      <c r="BQ1280" s="84"/>
      <c r="BR1280" s="84"/>
      <c r="BS1280" s="942"/>
      <c r="BT1280" s="942"/>
      <c r="BU1280" s="942"/>
      <c r="BV1280" s="84"/>
    </row>
    <row r="1281" spans="14:74" ht="14.25">
      <c r="N1281" s="84"/>
      <c r="O1281" s="84"/>
      <c r="P1281" s="84"/>
      <c r="Q1281" s="84"/>
      <c r="R1281" s="84"/>
      <c r="S1281" s="84"/>
      <c r="T1281" s="84"/>
      <c r="U1281" s="84"/>
      <c r="V1281" s="84"/>
      <c r="W1281" s="84"/>
      <c r="Y1281" s="84"/>
      <c r="Z1281" s="84"/>
      <c r="AA1281" s="84"/>
      <c r="AB1281" s="84"/>
      <c r="AC1281" s="84"/>
      <c r="AD1281" s="84"/>
      <c r="AE1281" s="84"/>
      <c r="AF1281" s="84"/>
      <c r="AG1281" s="84"/>
      <c r="AH1281" s="84"/>
      <c r="AI1281" s="84"/>
      <c r="AL1281" s="84"/>
      <c r="AM1281" s="84"/>
      <c r="AN1281" s="84"/>
      <c r="AO1281" s="84"/>
      <c r="AP1281" s="84"/>
      <c r="AQ1281" s="84"/>
      <c r="AR1281" s="84"/>
      <c r="AS1281" s="84"/>
      <c r="AT1281" s="84"/>
      <c r="AU1281" s="84"/>
      <c r="AV1281" s="84"/>
      <c r="AY1281" s="84"/>
      <c r="AZ1281" s="84"/>
      <c r="BA1281" s="84"/>
      <c r="BB1281" s="84"/>
      <c r="BC1281" s="84"/>
      <c r="BD1281" s="84"/>
      <c r="BE1281" s="84"/>
      <c r="BF1281" s="942"/>
      <c r="BG1281" s="942"/>
      <c r="BH1281" s="942"/>
      <c r="BI1281" s="84"/>
      <c r="BL1281" s="84"/>
      <c r="BM1281" s="84"/>
      <c r="BN1281" s="84"/>
      <c r="BO1281" s="84"/>
      <c r="BP1281" s="84"/>
      <c r="BQ1281" s="84"/>
      <c r="BR1281" s="84"/>
      <c r="BS1281" s="942"/>
      <c r="BT1281" s="942"/>
      <c r="BU1281" s="942"/>
      <c r="BV1281" s="84"/>
    </row>
    <row r="1282" spans="14:74" ht="14.25">
      <c r="N1282" s="84"/>
      <c r="O1282" s="84"/>
      <c r="P1282" s="84"/>
      <c r="Q1282" s="84"/>
      <c r="R1282" s="84"/>
      <c r="S1282" s="84"/>
      <c r="T1282" s="84"/>
      <c r="U1282" s="84"/>
      <c r="V1282" s="84"/>
      <c r="W1282" s="84"/>
      <c r="Y1282" s="84"/>
      <c r="Z1282" s="84"/>
      <c r="AA1282" s="84"/>
      <c r="AB1282" s="84"/>
      <c r="AC1282" s="84"/>
      <c r="AD1282" s="84"/>
      <c r="AE1282" s="84"/>
      <c r="AF1282" s="84"/>
      <c r="AG1282" s="84"/>
      <c r="AH1282" s="84"/>
      <c r="AI1282" s="84"/>
      <c r="AL1282" s="84"/>
      <c r="AM1282" s="84"/>
      <c r="AN1282" s="84"/>
      <c r="AO1282" s="84"/>
      <c r="AP1282" s="84"/>
      <c r="AQ1282" s="84"/>
      <c r="AR1282" s="84"/>
      <c r="AS1282" s="84"/>
      <c r="AT1282" s="84"/>
      <c r="AU1282" s="84"/>
      <c r="AV1282" s="84"/>
      <c r="AY1282" s="84"/>
      <c r="AZ1282" s="84"/>
      <c r="BA1282" s="84"/>
      <c r="BB1282" s="84"/>
      <c r="BC1282" s="84"/>
      <c r="BD1282" s="84"/>
      <c r="BE1282" s="84"/>
      <c r="BF1282" s="942"/>
      <c r="BG1282" s="942"/>
      <c r="BH1282" s="942"/>
      <c r="BI1282" s="84"/>
      <c r="BL1282" s="84"/>
      <c r="BM1282" s="84"/>
      <c r="BN1282" s="84"/>
      <c r="BO1282" s="84"/>
      <c r="BP1282" s="84"/>
      <c r="BQ1282" s="84"/>
      <c r="BR1282" s="84"/>
      <c r="BS1282" s="942"/>
      <c r="BT1282" s="942"/>
      <c r="BU1282" s="942"/>
      <c r="BV1282" s="84"/>
    </row>
    <row r="1283" spans="14:74" ht="14.25">
      <c r="N1283" s="84"/>
      <c r="O1283" s="84"/>
      <c r="P1283" s="84"/>
      <c r="Q1283" s="84"/>
      <c r="R1283" s="84"/>
      <c r="S1283" s="84"/>
      <c r="T1283" s="84"/>
      <c r="U1283" s="84"/>
      <c r="V1283" s="84"/>
      <c r="W1283" s="84"/>
      <c r="Y1283" s="84"/>
      <c r="Z1283" s="84"/>
      <c r="AA1283" s="84"/>
      <c r="AB1283" s="84"/>
      <c r="AC1283" s="84"/>
      <c r="AD1283" s="84"/>
      <c r="AE1283" s="84"/>
      <c r="AF1283" s="84"/>
      <c r="AG1283" s="84"/>
      <c r="AH1283" s="84"/>
      <c r="AI1283" s="84"/>
      <c r="AL1283" s="84"/>
      <c r="AM1283" s="84"/>
      <c r="AN1283" s="84"/>
      <c r="AO1283" s="84"/>
      <c r="AP1283" s="84"/>
      <c r="AQ1283" s="84"/>
      <c r="AR1283" s="84"/>
      <c r="AS1283" s="84"/>
      <c r="AT1283" s="84"/>
      <c r="AU1283" s="84"/>
      <c r="AV1283" s="84"/>
      <c r="AY1283" s="84"/>
      <c r="AZ1283" s="84"/>
      <c r="BA1283" s="84"/>
      <c r="BB1283" s="84"/>
      <c r="BC1283" s="84"/>
      <c r="BD1283" s="84"/>
      <c r="BE1283" s="84"/>
      <c r="BF1283" s="942"/>
      <c r="BG1283" s="942"/>
      <c r="BH1283" s="942"/>
      <c r="BI1283" s="84"/>
      <c r="BL1283" s="84"/>
      <c r="BM1283" s="84"/>
      <c r="BN1283" s="84"/>
      <c r="BO1283" s="84"/>
      <c r="BP1283" s="84"/>
      <c r="BQ1283" s="84"/>
      <c r="BR1283" s="84"/>
      <c r="BS1283" s="942"/>
      <c r="BT1283" s="942"/>
      <c r="BU1283" s="942"/>
      <c r="BV1283" s="84"/>
    </row>
    <row r="1284" spans="14:74" ht="14.25">
      <c r="N1284" s="84"/>
      <c r="O1284" s="84"/>
      <c r="P1284" s="84"/>
      <c r="Q1284" s="84"/>
      <c r="R1284" s="84"/>
      <c r="S1284" s="84"/>
      <c r="T1284" s="84"/>
      <c r="U1284" s="84"/>
      <c r="V1284" s="84"/>
      <c r="W1284" s="84"/>
      <c r="Y1284" s="84"/>
      <c r="Z1284" s="84"/>
      <c r="AA1284" s="84"/>
      <c r="AB1284" s="84"/>
      <c r="AC1284" s="84"/>
      <c r="AD1284" s="84"/>
      <c r="AE1284" s="84"/>
      <c r="AF1284" s="84"/>
      <c r="AG1284" s="84"/>
      <c r="AH1284" s="84"/>
      <c r="AI1284" s="84"/>
      <c r="AL1284" s="84"/>
      <c r="AM1284" s="84"/>
      <c r="AN1284" s="84"/>
      <c r="AO1284" s="84"/>
      <c r="AP1284" s="84"/>
      <c r="AQ1284" s="84"/>
      <c r="AR1284" s="84"/>
      <c r="AS1284" s="84"/>
      <c r="AT1284" s="84"/>
      <c r="AU1284" s="84"/>
      <c r="AV1284" s="84"/>
      <c r="AY1284" s="84"/>
      <c r="AZ1284" s="84"/>
      <c r="BA1284" s="84"/>
      <c r="BB1284" s="84"/>
      <c r="BC1284" s="84"/>
      <c r="BD1284" s="84"/>
      <c r="BE1284" s="84"/>
      <c r="BF1284" s="942"/>
      <c r="BG1284" s="942"/>
      <c r="BH1284" s="942"/>
      <c r="BI1284" s="84"/>
      <c r="BL1284" s="84"/>
      <c r="BM1284" s="84"/>
      <c r="BN1284" s="84"/>
      <c r="BO1284" s="84"/>
      <c r="BP1284" s="84"/>
      <c r="BQ1284" s="84"/>
      <c r="BR1284" s="84"/>
      <c r="BS1284" s="942"/>
      <c r="BT1284" s="942"/>
      <c r="BU1284" s="942"/>
      <c r="BV1284" s="84"/>
    </row>
    <row r="1285" spans="14:74" ht="14.25">
      <c r="N1285" s="84"/>
      <c r="O1285" s="84"/>
      <c r="P1285" s="84"/>
      <c r="Q1285" s="84"/>
      <c r="R1285" s="84"/>
      <c r="S1285" s="84"/>
      <c r="T1285" s="84"/>
      <c r="U1285" s="84"/>
      <c r="V1285" s="84"/>
      <c r="W1285" s="84"/>
      <c r="Y1285" s="84"/>
      <c r="Z1285" s="84"/>
      <c r="AA1285" s="84"/>
      <c r="AB1285" s="84"/>
      <c r="AC1285" s="84"/>
      <c r="AD1285" s="84"/>
      <c r="AE1285" s="84"/>
      <c r="AF1285" s="84"/>
      <c r="AG1285" s="84"/>
      <c r="AH1285" s="84"/>
      <c r="AI1285" s="84"/>
      <c r="AL1285" s="84"/>
      <c r="AM1285" s="84"/>
      <c r="AN1285" s="84"/>
      <c r="AO1285" s="84"/>
      <c r="AP1285" s="84"/>
      <c r="AQ1285" s="84"/>
      <c r="AR1285" s="84"/>
      <c r="AS1285" s="84"/>
      <c r="AT1285" s="84"/>
      <c r="AU1285" s="84"/>
      <c r="AV1285" s="84"/>
      <c r="AY1285" s="84"/>
      <c r="AZ1285" s="84"/>
      <c r="BA1285" s="84"/>
      <c r="BB1285" s="84"/>
      <c r="BC1285" s="84"/>
      <c r="BD1285" s="84"/>
      <c r="BE1285" s="84"/>
      <c r="BF1285" s="942"/>
      <c r="BG1285" s="942"/>
      <c r="BH1285" s="942"/>
      <c r="BI1285" s="84"/>
      <c r="BL1285" s="84"/>
      <c r="BM1285" s="84"/>
      <c r="BN1285" s="84"/>
      <c r="BO1285" s="84"/>
      <c r="BP1285" s="84"/>
      <c r="BQ1285" s="84"/>
      <c r="BR1285" s="84"/>
      <c r="BS1285" s="942"/>
      <c r="BT1285" s="942"/>
      <c r="BU1285" s="942"/>
      <c r="BV1285" s="84"/>
    </row>
    <row r="1286" spans="14:74" ht="14.25">
      <c r="N1286" s="84"/>
      <c r="O1286" s="84"/>
      <c r="P1286" s="84"/>
      <c r="Q1286" s="84"/>
      <c r="R1286" s="84"/>
      <c r="S1286" s="84"/>
      <c r="T1286" s="84"/>
      <c r="U1286" s="84"/>
      <c r="V1286" s="84"/>
      <c r="W1286" s="84"/>
      <c r="Y1286" s="84"/>
      <c r="Z1286" s="84"/>
      <c r="AA1286" s="84"/>
      <c r="AB1286" s="84"/>
      <c r="AC1286" s="84"/>
      <c r="AD1286" s="84"/>
      <c r="AE1286" s="84"/>
      <c r="AF1286" s="84"/>
      <c r="AG1286" s="84"/>
      <c r="AH1286" s="84"/>
      <c r="AI1286" s="84"/>
      <c r="AL1286" s="84"/>
      <c r="AM1286" s="84"/>
      <c r="AN1286" s="84"/>
      <c r="AO1286" s="84"/>
      <c r="AP1286" s="84"/>
      <c r="AQ1286" s="84"/>
      <c r="AR1286" s="84"/>
      <c r="AS1286" s="84"/>
      <c r="AT1286" s="84"/>
      <c r="AU1286" s="84"/>
      <c r="AV1286" s="84"/>
      <c r="AY1286" s="84"/>
      <c r="AZ1286" s="84"/>
      <c r="BA1286" s="84"/>
      <c r="BB1286" s="84"/>
      <c r="BC1286" s="84"/>
      <c r="BD1286" s="84"/>
      <c r="BE1286" s="84"/>
      <c r="BF1286" s="942"/>
      <c r="BG1286" s="942"/>
      <c r="BH1286" s="942"/>
      <c r="BI1286" s="84"/>
      <c r="BL1286" s="84"/>
      <c r="BM1286" s="84"/>
      <c r="BN1286" s="84"/>
      <c r="BO1286" s="84"/>
      <c r="BP1286" s="84"/>
      <c r="BQ1286" s="84"/>
      <c r="BR1286" s="84"/>
      <c r="BS1286" s="942"/>
      <c r="BT1286" s="942"/>
      <c r="BU1286" s="942"/>
      <c r="BV1286" s="84"/>
    </row>
    <row r="1287" spans="14:74" ht="14.25">
      <c r="N1287" s="84"/>
      <c r="O1287" s="84"/>
      <c r="P1287" s="84"/>
      <c r="Q1287" s="84"/>
      <c r="R1287" s="84"/>
      <c r="S1287" s="84"/>
      <c r="T1287" s="84"/>
      <c r="U1287" s="84"/>
      <c r="V1287" s="84"/>
      <c r="W1287" s="84"/>
      <c r="Y1287" s="84"/>
      <c r="Z1287" s="84"/>
      <c r="AA1287" s="84"/>
      <c r="AB1287" s="84"/>
      <c r="AC1287" s="84"/>
      <c r="AD1287" s="84"/>
      <c r="AE1287" s="84"/>
      <c r="AF1287" s="84"/>
      <c r="AG1287" s="84"/>
      <c r="AH1287" s="84"/>
      <c r="AI1287" s="84"/>
      <c r="AL1287" s="84"/>
      <c r="AM1287" s="84"/>
      <c r="AN1287" s="84"/>
      <c r="AO1287" s="84"/>
      <c r="AP1287" s="84"/>
      <c r="AQ1287" s="84"/>
      <c r="AR1287" s="84"/>
      <c r="AS1287" s="84"/>
      <c r="AT1287" s="84"/>
      <c r="AU1287" s="84"/>
      <c r="AV1287" s="84"/>
      <c r="AY1287" s="84"/>
      <c r="AZ1287" s="84"/>
      <c r="BA1287" s="84"/>
      <c r="BB1287" s="84"/>
      <c r="BC1287" s="84"/>
      <c r="BD1287" s="84"/>
      <c r="BE1287" s="84"/>
      <c r="BF1287" s="942"/>
      <c r="BG1287" s="942"/>
      <c r="BH1287" s="942"/>
      <c r="BI1287" s="84"/>
      <c r="BL1287" s="84"/>
      <c r="BM1287" s="84"/>
      <c r="BN1287" s="84"/>
      <c r="BO1287" s="84"/>
      <c r="BP1287" s="84"/>
      <c r="BQ1287" s="84"/>
      <c r="BR1287" s="84"/>
      <c r="BS1287" s="942"/>
      <c r="BT1287" s="942"/>
      <c r="BU1287" s="942"/>
      <c r="BV1287" s="84"/>
    </row>
    <row r="1288" spans="14:74" ht="14.25">
      <c r="N1288" s="84"/>
      <c r="O1288" s="84"/>
      <c r="P1288" s="84"/>
      <c r="Q1288" s="84"/>
      <c r="R1288" s="84"/>
      <c r="S1288" s="84"/>
      <c r="T1288" s="84"/>
      <c r="U1288" s="84"/>
      <c r="V1288" s="84"/>
      <c r="W1288" s="84"/>
      <c r="Y1288" s="84"/>
      <c r="Z1288" s="84"/>
      <c r="AA1288" s="84"/>
      <c r="AB1288" s="84"/>
      <c r="AC1288" s="84"/>
      <c r="AD1288" s="84"/>
      <c r="AE1288" s="84"/>
      <c r="AF1288" s="84"/>
      <c r="AG1288" s="84"/>
      <c r="AH1288" s="84"/>
      <c r="AI1288" s="84"/>
      <c r="AL1288" s="84"/>
      <c r="AM1288" s="84"/>
      <c r="AN1288" s="84"/>
      <c r="AO1288" s="84"/>
      <c r="AP1288" s="84"/>
      <c r="AQ1288" s="84"/>
      <c r="AR1288" s="84"/>
      <c r="AS1288" s="84"/>
      <c r="AT1288" s="84"/>
      <c r="AU1288" s="84"/>
      <c r="AV1288" s="84"/>
      <c r="AY1288" s="84"/>
      <c r="AZ1288" s="84"/>
      <c r="BA1288" s="84"/>
      <c r="BB1288" s="84"/>
      <c r="BC1288" s="84"/>
      <c r="BD1288" s="84"/>
      <c r="BE1288" s="84"/>
      <c r="BF1288" s="942"/>
      <c r="BG1288" s="942"/>
      <c r="BH1288" s="942"/>
      <c r="BI1288" s="84"/>
      <c r="BL1288" s="84"/>
      <c r="BM1288" s="84"/>
      <c r="BN1288" s="84"/>
      <c r="BO1288" s="84"/>
      <c r="BP1288" s="84"/>
      <c r="BQ1288" s="84"/>
      <c r="BR1288" s="84"/>
      <c r="BS1288" s="942"/>
      <c r="BT1288" s="942"/>
      <c r="BU1288" s="942"/>
      <c r="BV1288" s="84"/>
    </row>
    <row r="1289" spans="14:74" ht="14.25">
      <c r="N1289" s="84"/>
      <c r="O1289" s="84"/>
      <c r="P1289" s="84"/>
      <c r="Q1289" s="84"/>
      <c r="R1289" s="84"/>
      <c r="S1289" s="84"/>
      <c r="T1289" s="84"/>
      <c r="U1289" s="84"/>
      <c r="V1289" s="84"/>
      <c r="W1289" s="84"/>
      <c r="Y1289" s="84"/>
      <c r="Z1289" s="84"/>
      <c r="AA1289" s="84"/>
      <c r="AB1289" s="84"/>
      <c r="AC1289" s="84"/>
      <c r="AD1289" s="84"/>
      <c r="AE1289" s="84"/>
      <c r="AF1289" s="84"/>
      <c r="AG1289" s="84"/>
      <c r="AH1289" s="84"/>
      <c r="AI1289" s="84"/>
      <c r="AL1289" s="84"/>
      <c r="AM1289" s="84"/>
      <c r="AN1289" s="84"/>
      <c r="AO1289" s="84"/>
      <c r="AP1289" s="84"/>
      <c r="AQ1289" s="84"/>
      <c r="AR1289" s="84"/>
      <c r="AS1289" s="84"/>
      <c r="AT1289" s="84"/>
      <c r="AU1289" s="84"/>
      <c r="AV1289" s="84"/>
      <c r="AY1289" s="84"/>
      <c r="AZ1289" s="84"/>
      <c r="BA1289" s="84"/>
      <c r="BB1289" s="84"/>
      <c r="BC1289" s="84"/>
      <c r="BD1289" s="84"/>
      <c r="BE1289" s="84"/>
      <c r="BF1289" s="942"/>
      <c r="BG1289" s="942"/>
      <c r="BH1289" s="942"/>
      <c r="BI1289" s="84"/>
      <c r="BL1289" s="84"/>
      <c r="BM1289" s="84"/>
      <c r="BN1289" s="84"/>
      <c r="BO1289" s="84"/>
      <c r="BP1289" s="84"/>
      <c r="BQ1289" s="84"/>
      <c r="BR1289" s="84"/>
      <c r="BS1289" s="942"/>
      <c r="BT1289" s="942"/>
      <c r="BU1289" s="942"/>
      <c r="BV1289" s="84"/>
    </row>
    <row r="1290" spans="14:74" ht="14.25">
      <c r="N1290" s="84"/>
      <c r="O1290" s="84"/>
      <c r="P1290" s="84"/>
      <c r="Q1290" s="84"/>
      <c r="R1290" s="84"/>
      <c r="S1290" s="84"/>
      <c r="T1290" s="84"/>
      <c r="U1290" s="84"/>
      <c r="V1290" s="84"/>
      <c r="W1290" s="84"/>
      <c r="Y1290" s="84"/>
      <c r="Z1290" s="84"/>
      <c r="AA1290" s="84"/>
      <c r="AB1290" s="84"/>
      <c r="AC1290" s="84"/>
      <c r="AD1290" s="84"/>
      <c r="AE1290" s="84"/>
      <c r="AF1290" s="84"/>
      <c r="AG1290" s="84"/>
      <c r="AH1290" s="84"/>
      <c r="AI1290" s="84"/>
      <c r="AL1290" s="84"/>
      <c r="AM1290" s="84"/>
      <c r="AN1290" s="84"/>
      <c r="AO1290" s="84"/>
      <c r="AP1290" s="84"/>
      <c r="AQ1290" s="84"/>
      <c r="AR1290" s="84"/>
      <c r="AS1290" s="84"/>
      <c r="AT1290" s="84"/>
      <c r="AU1290" s="84"/>
      <c r="AV1290" s="84"/>
      <c r="AY1290" s="84"/>
      <c r="AZ1290" s="84"/>
      <c r="BA1290" s="84"/>
      <c r="BB1290" s="84"/>
      <c r="BC1290" s="84"/>
      <c r="BD1290" s="84"/>
      <c r="BE1290" s="84"/>
      <c r="BF1290" s="942"/>
      <c r="BG1290" s="942"/>
      <c r="BH1290" s="942"/>
      <c r="BI1290" s="84"/>
      <c r="BL1290" s="84"/>
      <c r="BM1290" s="84"/>
      <c r="BN1290" s="84"/>
      <c r="BO1290" s="84"/>
      <c r="BP1290" s="84"/>
      <c r="BQ1290" s="84"/>
      <c r="BR1290" s="84"/>
      <c r="BS1290" s="942"/>
      <c r="BT1290" s="942"/>
      <c r="BU1290" s="942"/>
      <c r="BV1290" s="84"/>
    </row>
    <row r="1291" spans="14:74" ht="14.25">
      <c r="N1291" s="84"/>
      <c r="O1291" s="84"/>
      <c r="P1291" s="84"/>
      <c r="Q1291" s="84"/>
      <c r="R1291" s="84"/>
      <c r="S1291" s="84"/>
      <c r="T1291" s="84"/>
      <c r="U1291" s="84"/>
      <c r="V1291" s="84"/>
      <c r="W1291" s="84"/>
      <c r="Y1291" s="84"/>
      <c r="Z1291" s="84"/>
      <c r="AA1291" s="84"/>
      <c r="AB1291" s="84"/>
      <c r="AC1291" s="84"/>
      <c r="AD1291" s="84"/>
      <c r="AE1291" s="84"/>
      <c r="AF1291" s="84"/>
      <c r="AG1291" s="84"/>
      <c r="AH1291" s="84"/>
      <c r="AI1291" s="84"/>
      <c r="AL1291" s="84"/>
      <c r="AM1291" s="84"/>
      <c r="AN1291" s="84"/>
      <c r="AO1291" s="84"/>
      <c r="AP1291" s="84"/>
      <c r="AQ1291" s="84"/>
      <c r="AR1291" s="84"/>
      <c r="AS1291" s="84"/>
      <c r="AT1291" s="84"/>
      <c r="AU1291" s="84"/>
      <c r="AV1291" s="84"/>
      <c r="AY1291" s="84"/>
      <c r="AZ1291" s="84"/>
      <c r="BA1291" s="84"/>
      <c r="BB1291" s="84"/>
      <c r="BC1291" s="84"/>
      <c r="BD1291" s="84"/>
      <c r="BE1291" s="84"/>
      <c r="BF1291" s="942"/>
      <c r="BG1291" s="942"/>
      <c r="BH1291" s="942"/>
      <c r="BI1291" s="84"/>
      <c r="BL1291" s="84"/>
      <c r="BM1291" s="84"/>
      <c r="BN1291" s="84"/>
      <c r="BO1291" s="84"/>
      <c r="BP1291" s="84"/>
      <c r="BQ1291" s="84"/>
      <c r="BR1291" s="84"/>
      <c r="BS1291" s="942"/>
      <c r="BT1291" s="942"/>
      <c r="BU1291" s="942"/>
      <c r="BV1291" s="84"/>
    </row>
    <row r="1292" spans="14:74" ht="14.25">
      <c r="N1292" s="84"/>
      <c r="O1292" s="84"/>
      <c r="P1292" s="84"/>
      <c r="Q1292" s="84"/>
      <c r="R1292" s="84"/>
      <c r="S1292" s="84"/>
      <c r="T1292" s="84"/>
      <c r="U1292" s="84"/>
      <c r="V1292" s="84"/>
      <c r="W1292" s="84"/>
      <c r="Y1292" s="84"/>
      <c r="Z1292" s="84"/>
      <c r="AA1292" s="84"/>
      <c r="AB1292" s="84"/>
      <c r="AC1292" s="84"/>
      <c r="AD1292" s="84"/>
      <c r="AE1292" s="84"/>
      <c r="AF1292" s="84"/>
      <c r="AG1292" s="84"/>
      <c r="AH1292" s="84"/>
      <c r="AI1292" s="84"/>
      <c r="AL1292" s="84"/>
      <c r="AM1292" s="84"/>
      <c r="AN1292" s="84"/>
      <c r="AO1292" s="84"/>
      <c r="AP1292" s="84"/>
      <c r="AQ1292" s="84"/>
      <c r="AR1292" s="84"/>
      <c r="AS1292" s="84"/>
      <c r="AT1292" s="84"/>
      <c r="AU1292" s="84"/>
      <c r="AV1292" s="84"/>
      <c r="AY1292" s="84"/>
      <c r="AZ1292" s="84"/>
      <c r="BA1292" s="84"/>
      <c r="BB1292" s="84"/>
      <c r="BC1292" s="84"/>
      <c r="BD1292" s="84"/>
      <c r="BE1292" s="84"/>
      <c r="BF1292" s="942"/>
      <c r="BG1292" s="942"/>
      <c r="BH1292" s="942"/>
      <c r="BI1292" s="84"/>
      <c r="BL1292" s="84"/>
      <c r="BM1292" s="84"/>
      <c r="BN1292" s="84"/>
      <c r="BO1292" s="84"/>
      <c r="BP1292" s="84"/>
      <c r="BQ1292" s="84"/>
      <c r="BR1292" s="84"/>
      <c r="BS1292" s="942"/>
      <c r="BT1292" s="942"/>
      <c r="BU1292" s="942"/>
      <c r="BV1292" s="84"/>
    </row>
    <row r="1293" spans="14:74" ht="14.25">
      <c r="N1293" s="84"/>
      <c r="O1293" s="84"/>
      <c r="P1293" s="84"/>
      <c r="Q1293" s="84"/>
      <c r="R1293" s="84"/>
      <c r="S1293" s="84"/>
      <c r="T1293" s="84"/>
      <c r="U1293" s="84"/>
      <c r="V1293" s="84"/>
      <c r="W1293" s="84"/>
      <c r="Y1293" s="84"/>
      <c r="Z1293" s="84"/>
      <c r="AA1293" s="84"/>
      <c r="AB1293" s="84"/>
      <c r="AC1293" s="84"/>
      <c r="AD1293" s="84"/>
      <c r="AE1293" s="84"/>
      <c r="AF1293" s="84"/>
      <c r="AG1293" s="84"/>
      <c r="AH1293" s="84"/>
      <c r="AI1293" s="84"/>
      <c r="AL1293" s="84"/>
      <c r="AM1293" s="84"/>
      <c r="AN1293" s="84"/>
      <c r="AO1293" s="84"/>
      <c r="AP1293" s="84"/>
      <c r="AQ1293" s="84"/>
      <c r="AR1293" s="84"/>
      <c r="AS1293" s="84"/>
      <c r="AT1293" s="84"/>
      <c r="AU1293" s="84"/>
      <c r="AV1293" s="84"/>
      <c r="AY1293" s="84"/>
      <c r="AZ1293" s="84"/>
      <c r="BA1293" s="84"/>
      <c r="BB1293" s="84"/>
      <c r="BC1293" s="84"/>
      <c r="BD1293" s="84"/>
      <c r="BE1293" s="84"/>
      <c r="BF1293" s="942"/>
      <c r="BG1293" s="942"/>
      <c r="BH1293" s="942"/>
      <c r="BI1293" s="84"/>
      <c r="BL1293" s="84"/>
      <c r="BM1293" s="84"/>
      <c r="BN1293" s="84"/>
      <c r="BO1293" s="84"/>
      <c r="BP1293" s="84"/>
      <c r="BQ1293" s="84"/>
      <c r="BR1293" s="84"/>
      <c r="BS1293" s="942"/>
      <c r="BT1293" s="942"/>
      <c r="BU1293" s="942"/>
      <c r="BV1293" s="84"/>
    </row>
    <row r="1294" spans="14:74" ht="14.25">
      <c r="N1294" s="84"/>
      <c r="O1294" s="84"/>
      <c r="P1294" s="84"/>
      <c r="Q1294" s="84"/>
      <c r="R1294" s="84"/>
      <c r="S1294" s="84"/>
      <c r="T1294" s="84"/>
      <c r="U1294" s="84"/>
      <c r="V1294" s="84"/>
      <c r="W1294" s="84"/>
      <c r="Y1294" s="84"/>
      <c r="Z1294" s="84"/>
      <c r="AA1294" s="84"/>
      <c r="AB1294" s="84"/>
      <c r="AC1294" s="84"/>
      <c r="AD1294" s="84"/>
      <c r="AE1294" s="84"/>
      <c r="AF1294" s="84"/>
      <c r="AG1294" s="84"/>
      <c r="AH1294" s="84"/>
      <c r="AI1294" s="84"/>
      <c r="AL1294" s="84"/>
      <c r="AM1294" s="84"/>
      <c r="AN1294" s="84"/>
      <c r="AO1294" s="84"/>
      <c r="AP1294" s="84"/>
      <c r="AQ1294" s="84"/>
      <c r="AR1294" s="84"/>
      <c r="AS1294" s="84"/>
      <c r="AT1294" s="84"/>
      <c r="AU1294" s="84"/>
      <c r="AV1294" s="84"/>
      <c r="AY1294" s="84"/>
      <c r="AZ1294" s="84"/>
      <c r="BA1294" s="84"/>
      <c r="BB1294" s="84"/>
      <c r="BC1294" s="84"/>
      <c r="BD1294" s="84"/>
      <c r="BE1294" s="84"/>
      <c r="BF1294" s="942"/>
      <c r="BG1294" s="942"/>
      <c r="BH1294" s="942"/>
      <c r="BI1294" s="84"/>
      <c r="BL1294" s="84"/>
      <c r="BM1294" s="84"/>
      <c r="BN1294" s="84"/>
      <c r="BO1294" s="84"/>
      <c r="BP1294" s="84"/>
      <c r="BQ1294" s="84"/>
      <c r="BR1294" s="84"/>
      <c r="BS1294" s="942"/>
      <c r="BT1294" s="942"/>
      <c r="BU1294" s="942"/>
      <c r="BV1294" s="84"/>
    </row>
    <row r="1295" spans="14:74" ht="14.25">
      <c r="N1295" s="84"/>
      <c r="O1295" s="84"/>
      <c r="P1295" s="84"/>
      <c r="Q1295" s="84"/>
      <c r="R1295" s="84"/>
      <c r="S1295" s="84"/>
      <c r="T1295" s="84"/>
      <c r="U1295" s="84"/>
      <c r="V1295" s="84"/>
      <c r="W1295" s="84"/>
      <c r="Y1295" s="84"/>
      <c r="Z1295" s="84"/>
      <c r="AA1295" s="84"/>
      <c r="AB1295" s="84"/>
      <c r="AC1295" s="84"/>
      <c r="AD1295" s="84"/>
      <c r="AE1295" s="84"/>
      <c r="AF1295" s="84"/>
      <c r="AG1295" s="84"/>
      <c r="AH1295" s="84"/>
      <c r="AI1295" s="84"/>
      <c r="AL1295" s="84"/>
      <c r="AM1295" s="84"/>
      <c r="AN1295" s="84"/>
      <c r="AO1295" s="84"/>
      <c r="AP1295" s="84"/>
      <c r="AQ1295" s="84"/>
      <c r="AR1295" s="84"/>
      <c r="AS1295" s="84"/>
      <c r="AT1295" s="84"/>
      <c r="AU1295" s="84"/>
      <c r="AV1295" s="84"/>
      <c r="AY1295" s="84"/>
      <c r="AZ1295" s="84"/>
      <c r="BA1295" s="84"/>
      <c r="BB1295" s="84"/>
      <c r="BC1295" s="84"/>
      <c r="BD1295" s="84"/>
      <c r="BE1295" s="84"/>
      <c r="BF1295" s="942"/>
      <c r="BG1295" s="942"/>
      <c r="BH1295" s="942"/>
      <c r="BI1295" s="84"/>
      <c r="BL1295" s="84"/>
      <c r="BM1295" s="84"/>
      <c r="BN1295" s="84"/>
      <c r="BO1295" s="84"/>
      <c r="BP1295" s="84"/>
      <c r="BQ1295" s="84"/>
      <c r="BR1295" s="84"/>
      <c r="BS1295" s="942"/>
      <c r="BT1295" s="942"/>
      <c r="BU1295" s="942"/>
      <c r="BV1295" s="84"/>
    </row>
    <row r="1296" spans="14:74" ht="14.25">
      <c r="N1296" s="84"/>
      <c r="O1296" s="84"/>
      <c r="P1296" s="84"/>
      <c r="Q1296" s="84"/>
      <c r="R1296" s="84"/>
      <c r="S1296" s="84"/>
      <c r="T1296" s="84"/>
      <c r="U1296" s="84"/>
      <c r="V1296" s="84"/>
      <c r="W1296" s="84"/>
      <c r="Y1296" s="84"/>
      <c r="Z1296" s="84"/>
      <c r="AA1296" s="84"/>
      <c r="AB1296" s="84"/>
      <c r="AC1296" s="84"/>
      <c r="AD1296" s="84"/>
      <c r="AE1296" s="84"/>
      <c r="AF1296" s="84"/>
      <c r="AG1296" s="84"/>
      <c r="AH1296" s="84"/>
      <c r="AI1296" s="84"/>
      <c r="AL1296" s="84"/>
      <c r="AM1296" s="84"/>
      <c r="AN1296" s="84"/>
      <c r="AO1296" s="84"/>
      <c r="AP1296" s="84"/>
      <c r="AQ1296" s="84"/>
      <c r="AR1296" s="84"/>
      <c r="AS1296" s="84"/>
      <c r="AT1296" s="84"/>
      <c r="AU1296" s="84"/>
      <c r="AV1296" s="84"/>
      <c r="AY1296" s="84"/>
      <c r="AZ1296" s="84"/>
      <c r="BA1296" s="84"/>
      <c r="BB1296" s="84"/>
      <c r="BC1296" s="84"/>
      <c r="BD1296" s="84"/>
      <c r="BE1296" s="84"/>
      <c r="BF1296" s="942"/>
      <c r="BG1296" s="942"/>
      <c r="BH1296" s="942"/>
      <c r="BI1296" s="84"/>
      <c r="BL1296" s="84"/>
      <c r="BM1296" s="84"/>
      <c r="BN1296" s="84"/>
      <c r="BO1296" s="84"/>
      <c r="BP1296" s="84"/>
      <c r="BQ1296" s="84"/>
      <c r="BR1296" s="84"/>
      <c r="BS1296" s="942"/>
      <c r="BT1296" s="942"/>
      <c r="BU1296" s="942"/>
      <c r="BV1296" s="84"/>
    </row>
    <row r="1297" spans="14:74" ht="14.25">
      <c r="N1297" s="84"/>
      <c r="O1297" s="84"/>
      <c r="P1297" s="84"/>
      <c r="Q1297" s="84"/>
      <c r="R1297" s="84"/>
      <c r="S1297" s="84"/>
      <c r="T1297" s="84"/>
      <c r="U1297" s="84"/>
      <c r="V1297" s="84"/>
      <c r="W1297" s="84"/>
      <c r="Y1297" s="84"/>
      <c r="Z1297" s="84"/>
      <c r="AA1297" s="84"/>
      <c r="AB1297" s="84"/>
      <c r="AC1297" s="84"/>
      <c r="AD1297" s="84"/>
      <c r="AE1297" s="84"/>
      <c r="AF1297" s="84"/>
      <c r="AG1297" s="84"/>
      <c r="AH1297" s="84"/>
      <c r="AI1297" s="84"/>
      <c r="AL1297" s="84"/>
      <c r="AM1297" s="84"/>
      <c r="AN1297" s="84"/>
      <c r="AO1297" s="84"/>
      <c r="AP1297" s="84"/>
      <c r="AQ1297" s="84"/>
      <c r="AR1297" s="84"/>
      <c r="AS1297" s="84"/>
      <c r="AT1297" s="84"/>
      <c r="AU1297" s="84"/>
      <c r="AV1297" s="84"/>
      <c r="AY1297" s="84"/>
      <c r="AZ1297" s="84"/>
      <c r="BA1297" s="84"/>
      <c r="BB1297" s="84"/>
      <c r="BC1297" s="84"/>
      <c r="BD1297" s="84"/>
      <c r="BE1297" s="84"/>
      <c r="BF1297" s="942"/>
      <c r="BG1297" s="942"/>
      <c r="BH1297" s="942"/>
      <c r="BI1297" s="84"/>
      <c r="BL1297" s="84"/>
      <c r="BM1297" s="84"/>
      <c r="BN1297" s="84"/>
      <c r="BO1297" s="84"/>
      <c r="BP1297" s="84"/>
      <c r="BQ1297" s="84"/>
      <c r="BR1297" s="84"/>
      <c r="BS1297" s="942"/>
      <c r="BT1297" s="942"/>
      <c r="BU1297" s="942"/>
      <c r="BV1297" s="84"/>
    </row>
    <row r="1298" spans="14:74" ht="14.25">
      <c r="N1298" s="84"/>
      <c r="O1298" s="84"/>
      <c r="P1298" s="84"/>
      <c r="Q1298" s="84"/>
      <c r="R1298" s="84"/>
      <c r="S1298" s="84"/>
      <c r="T1298" s="84"/>
      <c r="U1298" s="84"/>
      <c r="V1298" s="84"/>
      <c r="W1298" s="84"/>
      <c r="Y1298" s="84"/>
      <c r="Z1298" s="84"/>
      <c r="AA1298" s="84"/>
      <c r="AB1298" s="84"/>
      <c r="AC1298" s="84"/>
      <c r="AD1298" s="84"/>
      <c r="AE1298" s="84"/>
      <c r="AF1298" s="84"/>
      <c r="AG1298" s="84"/>
      <c r="AH1298" s="84"/>
      <c r="AI1298" s="84"/>
      <c r="AL1298" s="84"/>
      <c r="AM1298" s="84"/>
      <c r="AN1298" s="84"/>
      <c r="AO1298" s="84"/>
      <c r="AP1298" s="84"/>
      <c r="AQ1298" s="84"/>
      <c r="AR1298" s="84"/>
      <c r="AS1298" s="84"/>
      <c r="AT1298" s="84"/>
      <c r="AU1298" s="84"/>
      <c r="AV1298" s="84"/>
      <c r="AY1298" s="84"/>
      <c r="AZ1298" s="84"/>
      <c r="BA1298" s="84"/>
      <c r="BB1298" s="84"/>
      <c r="BC1298" s="84"/>
      <c r="BD1298" s="84"/>
      <c r="BE1298" s="84"/>
      <c r="BF1298" s="942"/>
      <c r="BG1298" s="942"/>
      <c r="BH1298" s="942"/>
      <c r="BI1298" s="84"/>
      <c r="BL1298" s="84"/>
      <c r="BM1298" s="84"/>
      <c r="BN1298" s="84"/>
      <c r="BO1298" s="84"/>
      <c r="BP1298" s="84"/>
      <c r="BQ1298" s="84"/>
      <c r="BR1298" s="84"/>
      <c r="BS1298" s="942"/>
      <c r="BT1298" s="942"/>
      <c r="BU1298" s="942"/>
      <c r="BV1298" s="84"/>
    </row>
    <row r="1299" spans="14:74" ht="14.25">
      <c r="N1299" s="84"/>
      <c r="O1299" s="84"/>
      <c r="P1299" s="84"/>
      <c r="Q1299" s="84"/>
      <c r="R1299" s="84"/>
      <c r="S1299" s="84"/>
      <c r="T1299" s="84"/>
      <c r="U1299" s="84"/>
      <c r="V1299" s="84"/>
      <c r="W1299" s="84"/>
      <c r="Y1299" s="84"/>
      <c r="Z1299" s="84"/>
      <c r="AA1299" s="84"/>
      <c r="AB1299" s="84"/>
      <c r="AC1299" s="84"/>
      <c r="AD1299" s="84"/>
      <c r="AE1299" s="84"/>
      <c r="AF1299" s="84"/>
      <c r="AG1299" s="84"/>
      <c r="AH1299" s="84"/>
      <c r="AI1299" s="84"/>
      <c r="AL1299" s="84"/>
      <c r="AM1299" s="84"/>
      <c r="AN1299" s="84"/>
      <c r="AO1299" s="84"/>
      <c r="AP1299" s="84"/>
      <c r="AQ1299" s="84"/>
      <c r="AR1299" s="84"/>
      <c r="AS1299" s="84"/>
      <c r="AT1299" s="84"/>
      <c r="AU1299" s="84"/>
      <c r="AV1299" s="84"/>
      <c r="AY1299" s="84"/>
      <c r="AZ1299" s="84"/>
      <c r="BA1299" s="84"/>
      <c r="BB1299" s="84"/>
      <c r="BC1299" s="84"/>
      <c r="BD1299" s="84"/>
      <c r="BE1299" s="84"/>
      <c r="BF1299" s="942"/>
      <c r="BG1299" s="942"/>
      <c r="BH1299" s="942"/>
      <c r="BI1299" s="84"/>
      <c r="BL1299" s="84"/>
      <c r="BM1299" s="84"/>
      <c r="BN1299" s="84"/>
      <c r="BO1299" s="84"/>
      <c r="BP1299" s="84"/>
      <c r="BQ1299" s="84"/>
      <c r="BR1299" s="84"/>
      <c r="BS1299" s="942"/>
      <c r="BT1299" s="942"/>
      <c r="BU1299" s="942"/>
      <c r="BV1299" s="84"/>
    </row>
    <row r="1300" spans="14:74" ht="14.25">
      <c r="N1300" s="84"/>
      <c r="O1300" s="84"/>
      <c r="P1300" s="84"/>
      <c r="Q1300" s="84"/>
      <c r="R1300" s="84"/>
      <c r="S1300" s="84"/>
      <c r="T1300" s="84"/>
      <c r="U1300" s="84"/>
      <c r="V1300" s="84"/>
      <c r="W1300" s="84"/>
      <c r="Y1300" s="84"/>
      <c r="Z1300" s="84"/>
      <c r="AA1300" s="84"/>
      <c r="AB1300" s="84"/>
      <c r="AC1300" s="84"/>
      <c r="AD1300" s="84"/>
      <c r="AE1300" s="84"/>
      <c r="AF1300" s="84"/>
      <c r="AG1300" s="84"/>
      <c r="AH1300" s="84"/>
      <c r="AI1300" s="84"/>
      <c r="AL1300" s="84"/>
      <c r="AM1300" s="84"/>
      <c r="AN1300" s="84"/>
      <c r="AO1300" s="84"/>
      <c r="AP1300" s="84"/>
      <c r="AQ1300" s="84"/>
      <c r="AR1300" s="84"/>
      <c r="AS1300" s="84"/>
      <c r="AT1300" s="84"/>
      <c r="AU1300" s="84"/>
      <c r="AV1300" s="84"/>
      <c r="AY1300" s="84"/>
      <c r="AZ1300" s="84"/>
      <c r="BA1300" s="84"/>
      <c r="BB1300" s="84"/>
      <c r="BC1300" s="84"/>
      <c r="BD1300" s="84"/>
      <c r="BE1300" s="84"/>
      <c r="BF1300" s="942"/>
      <c r="BG1300" s="942"/>
      <c r="BH1300" s="942"/>
      <c r="BI1300" s="84"/>
      <c r="BL1300" s="84"/>
      <c r="BM1300" s="84"/>
      <c r="BN1300" s="84"/>
      <c r="BO1300" s="84"/>
      <c r="BP1300" s="84"/>
      <c r="BQ1300" s="84"/>
      <c r="BR1300" s="84"/>
      <c r="BS1300" s="942"/>
      <c r="BT1300" s="942"/>
      <c r="BU1300" s="942"/>
      <c r="BV1300" s="84"/>
    </row>
    <row r="1301" spans="14:74" ht="14.25">
      <c r="N1301" s="84"/>
      <c r="O1301" s="84"/>
      <c r="P1301" s="84"/>
      <c r="Q1301" s="84"/>
      <c r="R1301" s="84"/>
      <c r="S1301" s="84"/>
      <c r="T1301" s="84"/>
      <c r="U1301" s="84"/>
      <c r="V1301" s="84"/>
      <c r="W1301" s="84"/>
      <c r="Y1301" s="84"/>
      <c r="Z1301" s="84"/>
      <c r="AA1301" s="84"/>
      <c r="AB1301" s="84"/>
      <c r="AC1301" s="84"/>
      <c r="AD1301" s="84"/>
      <c r="AE1301" s="84"/>
      <c r="AF1301" s="84"/>
      <c r="AG1301" s="84"/>
      <c r="AH1301" s="84"/>
      <c r="AI1301" s="84"/>
      <c r="AL1301" s="84"/>
      <c r="AM1301" s="84"/>
      <c r="AN1301" s="84"/>
      <c r="AO1301" s="84"/>
      <c r="AP1301" s="84"/>
      <c r="AQ1301" s="84"/>
      <c r="AR1301" s="84"/>
      <c r="AS1301" s="84"/>
      <c r="AT1301" s="84"/>
      <c r="AU1301" s="84"/>
      <c r="AV1301" s="84"/>
      <c r="AY1301" s="84"/>
      <c r="AZ1301" s="84"/>
      <c r="BA1301" s="84"/>
      <c r="BB1301" s="84"/>
      <c r="BC1301" s="84"/>
      <c r="BD1301" s="84"/>
      <c r="BE1301" s="84"/>
      <c r="BF1301" s="942"/>
      <c r="BG1301" s="942"/>
      <c r="BH1301" s="942"/>
      <c r="BI1301" s="84"/>
      <c r="BL1301" s="84"/>
      <c r="BM1301" s="84"/>
      <c r="BN1301" s="84"/>
      <c r="BO1301" s="84"/>
      <c r="BP1301" s="84"/>
      <c r="BQ1301" s="84"/>
      <c r="BR1301" s="84"/>
      <c r="BS1301" s="942"/>
      <c r="BT1301" s="942"/>
      <c r="BU1301" s="942"/>
      <c r="BV1301" s="84"/>
    </row>
    <row r="1302" spans="14:74" ht="14.25">
      <c r="N1302" s="84"/>
      <c r="O1302" s="84"/>
      <c r="P1302" s="84"/>
      <c r="Q1302" s="84"/>
      <c r="R1302" s="84"/>
      <c r="S1302" s="84"/>
      <c r="T1302" s="84"/>
      <c r="U1302" s="84"/>
      <c r="V1302" s="84"/>
      <c r="W1302" s="84"/>
      <c r="Y1302" s="84"/>
      <c r="Z1302" s="84"/>
      <c r="AA1302" s="84"/>
      <c r="AB1302" s="84"/>
      <c r="AC1302" s="84"/>
      <c r="AD1302" s="84"/>
      <c r="AE1302" s="84"/>
      <c r="AF1302" s="84"/>
      <c r="AG1302" s="84"/>
      <c r="AH1302" s="84"/>
      <c r="AI1302" s="84"/>
      <c r="AL1302" s="84"/>
      <c r="AM1302" s="84"/>
      <c r="AN1302" s="84"/>
      <c r="AO1302" s="84"/>
      <c r="AP1302" s="84"/>
      <c r="AQ1302" s="84"/>
      <c r="AR1302" s="84"/>
      <c r="AS1302" s="84"/>
      <c r="AT1302" s="84"/>
      <c r="AU1302" s="84"/>
      <c r="AV1302" s="84"/>
      <c r="AY1302" s="84"/>
      <c r="AZ1302" s="84"/>
      <c r="BA1302" s="84"/>
      <c r="BB1302" s="84"/>
      <c r="BC1302" s="84"/>
      <c r="BD1302" s="84"/>
      <c r="BE1302" s="84"/>
      <c r="BF1302" s="942"/>
      <c r="BG1302" s="942"/>
      <c r="BH1302" s="942"/>
      <c r="BI1302" s="84"/>
      <c r="BL1302" s="84"/>
      <c r="BM1302" s="84"/>
      <c r="BN1302" s="84"/>
      <c r="BO1302" s="84"/>
      <c r="BP1302" s="84"/>
      <c r="BQ1302" s="84"/>
      <c r="BR1302" s="84"/>
      <c r="BS1302" s="942"/>
      <c r="BT1302" s="942"/>
      <c r="BU1302" s="942"/>
      <c r="BV1302" s="84"/>
    </row>
    <row r="1303" spans="14:74" ht="14.25">
      <c r="N1303" s="84"/>
      <c r="O1303" s="84"/>
      <c r="P1303" s="84"/>
      <c r="Q1303" s="84"/>
      <c r="R1303" s="84"/>
      <c r="S1303" s="84"/>
      <c r="T1303" s="84"/>
      <c r="U1303" s="84"/>
      <c r="V1303" s="84"/>
      <c r="W1303" s="84"/>
      <c r="Y1303" s="84"/>
      <c r="Z1303" s="84"/>
      <c r="AA1303" s="84"/>
      <c r="AB1303" s="84"/>
      <c r="AC1303" s="84"/>
      <c r="AD1303" s="84"/>
      <c r="AE1303" s="84"/>
      <c r="AF1303" s="84"/>
      <c r="AG1303" s="84"/>
      <c r="AH1303" s="84"/>
      <c r="AI1303" s="84"/>
      <c r="AL1303" s="84"/>
      <c r="AM1303" s="84"/>
      <c r="AN1303" s="84"/>
      <c r="AO1303" s="84"/>
      <c r="AP1303" s="84"/>
      <c r="AQ1303" s="84"/>
      <c r="AR1303" s="84"/>
      <c r="AS1303" s="84"/>
      <c r="AT1303" s="84"/>
      <c r="AU1303" s="84"/>
      <c r="AV1303" s="84"/>
      <c r="AY1303" s="84"/>
      <c r="AZ1303" s="84"/>
      <c r="BA1303" s="84"/>
      <c r="BB1303" s="84"/>
      <c r="BC1303" s="84"/>
      <c r="BD1303" s="84"/>
      <c r="BE1303" s="84"/>
      <c r="BF1303" s="942"/>
      <c r="BG1303" s="942"/>
      <c r="BH1303" s="942"/>
      <c r="BI1303" s="84"/>
      <c r="BL1303" s="84"/>
      <c r="BM1303" s="84"/>
      <c r="BN1303" s="84"/>
      <c r="BO1303" s="84"/>
      <c r="BP1303" s="84"/>
      <c r="BQ1303" s="84"/>
      <c r="BR1303" s="84"/>
      <c r="BS1303" s="942"/>
      <c r="BT1303" s="942"/>
      <c r="BU1303" s="942"/>
      <c r="BV1303" s="84"/>
    </row>
    <row r="1304" spans="14:74" ht="14.25">
      <c r="N1304" s="84"/>
      <c r="O1304" s="84"/>
      <c r="P1304" s="84"/>
      <c r="Q1304" s="84"/>
      <c r="R1304" s="84"/>
      <c r="S1304" s="84"/>
      <c r="T1304" s="84"/>
      <c r="U1304" s="84"/>
      <c r="V1304" s="84"/>
      <c r="W1304" s="84"/>
      <c r="Y1304" s="84"/>
      <c r="Z1304" s="84"/>
      <c r="AA1304" s="84"/>
      <c r="AB1304" s="84"/>
      <c r="AC1304" s="84"/>
      <c r="AD1304" s="84"/>
      <c r="AE1304" s="84"/>
      <c r="AF1304" s="84"/>
      <c r="AG1304" s="84"/>
      <c r="AH1304" s="84"/>
      <c r="AI1304" s="84"/>
      <c r="AL1304" s="84"/>
      <c r="AM1304" s="84"/>
      <c r="AN1304" s="84"/>
      <c r="AO1304" s="84"/>
      <c r="AP1304" s="84"/>
      <c r="AQ1304" s="84"/>
      <c r="AR1304" s="84"/>
      <c r="AS1304" s="84"/>
      <c r="AT1304" s="84"/>
      <c r="AU1304" s="84"/>
      <c r="AV1304" s="84"/>
      <c r="AY1304" s="84"/>
      <c r="AZ1304" s="84"/>
      <c r="BA1304" s="84"/>
      <c r="BB1304" s="84"/>
      <c r="BC1304" s="84"/>
      <c r="BD1304" s="84"/>
      <c r="BE1304" s="84"/>
      <c r="BF1304" s="942"/>
      <c r="BG1304" s="942"/>
      <c r="BH1304" s="942"/>
      <c r="BI1304" s="84"/>
      <c r="BL1304" s="84"/>
      <c r="BM1304" s="84"/>
      <c r="BN1304" s="84"/>
      <c r="BO1304" s="84"/>
      <c r="BP1304" s="84"/>
      <c r="BQ1304" s="84"/>
      <c r="BR1304" s="84"/>
      <c r="BS1304" s="942"/>
      <c r="BT1304" s="942"/>
      <c r="BU1304" s="942"/>
      <c r="BV1304" s="84"/>
    </row>
    <row r="1305" spans="14:74" ht="14.25">
      <c r="N1305" s="84"/>
      <c r="O1305" s="84"/>
      <c r="P1305" s="84"/>
      <c r="Q1305" s="84"/>
      <c r="R1305" s="84"/>
      <c r="S1305" s="84"/>
      <c r="T1305" s="84"/>
      <c r="U1305" s="84"/>
      <c r="V1305" s="84"/>
      <c r="W1305" s="84"/>
      <c r="Y1305" s="84"/>
      <c r="Z1305" s="84"/>
      <c r="AA1305" s="84"/>
      <c r="AB1305" s="84"/>
      <c r="AC1305" s="84"/>
      <c r="AD1305" s="84"/>
      <c r="AE1305" s="84"/>
      <c r="AF1305" s="84"/>
      <c r="AG1305" s="84"/>
      <c r="AH1305" s="84"/>
      <c r="AI1305" s="84"/>
      <c r="AL1305" s="84"/>
      <c r="AM1305" s="84"/>
      <c r="AN1305" s="84"/>
      <c r="AO1305" s="84"/>
      <c r="AP1305" s="84"/>
      <c r="AQ1305" s="84"/>
      <c r="AR1305" s="84"/>
      <c r="AS1305" s="84"/>
      <c r="AT1305" s="84"/>
      <c r="AU1305" s="84"/>
      <c r="AV1305" s="84"/>
      <c r="AY1305" s="84"/>
      <c r="AZ1305" s="84"/>
      <c r="BA1305" s="84"/>
      <c r="BB1305" s="84"/>
      <c r="BC1305" s="84"/>
      <c r="BD1305" s="84"/>
      <c r="BE1305" s="84"/>
      <c r="BF1305" s="942"/>
      <c r="BG1305" s="942"/>
      <c r="BH1305" s="942"/>
      <c r="BI1305" s="84"/>
      <c r="BL1305" s="84"/>
      <c r="BM1305" s="84"/>
      <c r="BN1305" s="84"/>
      <c r="BO1305" s="84"/>
      <c r="BP1305" s="84"/>
      <c r="BQ1305" s="84"/>
      <c r="BR1305" s="84"/>
      <c r="BS1305" s="942"/>
      <c r="BT1305" s="942"/>
      <c r="BU1305" s="942"/>
      <c r="BV1305" s="84"/>
    </row>
    <row r="1306" spans="14:74" ht="14.25">
      <c r="N1306" s="84"/>
      <c r="O1306" s="84"/>
      <c r="P1306" s="84"/>
      <c r="Q1306" s="84"/>
      <c r="R1306" s="84"/>
      <c r="S1306" s="84"/>
      <c r="T1306" s="84"/>
      <c r="U1306" s="84"/>
      <c r="V1306" s="84"/>
      <c r="W1306" s="84"/>
      <c r="Y1306" s="84"/>
      <c r="Z1306" s="84"/>
      <c r="AA1306" s="84"/>
      <c r="AB1306" s="84"/>
      <c r="AC1306" s="84"/>
      <c r="AD1306" s="84"/>
      <c r="AE1306" s="84"/>
      <c r="AF1306" s="84"/>
      <c r="AG1306" s="84"/>
      <c r="AH1306" s="84"/>
      <c r="AI1306" s="84"/>
      <c r="AL1306" s="84"/>
      <c r="AM1306" s="84"/>
      <c r="AN1306" s="84"/>
      <c r="AO1306" s="84"/>
      <c r="AP1306" s="84"/>
      <c r="AQ1306" s="84"/>
      <c r="AR1306" s="84"/>
      <c r="AS1306" s="84"/>
      <c r="AT1306" s="84"/>
      <c r="AU1306" s="84"/>
      <c r="AV1306" s="84"/>
      <c r="AY1306" s="84"/>
      <c r="AZ1306" s="84"/>
      <c r="BA1306" s="84"/>
      <c r="BB1306" s="84"/>
      <c r="BC1306" s="84"/>
      <c r="BD1306" s="84"/>
      <c r="BE1306" s="84"/>
      <c r="BF1306" s="942"/>
      <c r="BG1306" s="942"/>
      <c r="BH1306" s="942"/>
      <c r="BI1306" s="84"/>
      <c r="BL1306" s="84"/>
      <c r="BM1306" s="84"/>
      <c r="BN1306" s="84"/>
      <c r="BO1306" s="84"/>
      <c r="BP1306" s="84"/>
      <c r="BQ1306" s="84"/>
      <c r="BR1306" s="84"/>
      <c r="BS1306" s="942"/>
      <c r="BT1306" s="942"/>
      <c r="BU1306" s="942"/>
      <c r="BV1306" s="84"/>
    </row>
    <row r="1307" spans="14:74" ht="14.25">
      <c r="N1307" s="84"/>
      <c r="O1307" s="84"/>
      <c r="P1307" s="84"/>
      <c r="Q1307" s="84"/>
      <c r="R1307" s="84"/>
      <c r="S1307" s="84"/>
      <c r="T1307" s="84"/>
      <c r="U1307" s="84"/>
      <c r="V1307" s="84"/>
      <c r="W1307" s="84"/>
      <c r="Y1307" s="84"/>
      <c r="Z1307" s="84"/>
      <c r="AA1307" s="84"/>
      <c r="AB1307" s="84"/>
      <c r="AC1307" s="84"/>
      <c r="AD1307" s="84"/>
      <c r="AE1307" s="84"/>
      <c r="AF1307" s="84"/>
      <c r="AG1307" s="84"/>
      <c r="AH1307" s="84"/>
      <c r="AI1307" s="84"/>
      <c r="AL1307" s="84"/>
      <c r="AM1307" s="84"/>
      <c r="AN1307" s="84"/>
      <c r="AO1307" s="84"/>
      <c r="AP1307" s="84"/>
      <c r="AQ1307" s="84"/>
      <c r="AR1307" s="84"/>
      <c r="AS1307" s="84"/>
      <c r="AT1307" s="84"/>
      <c r="AU1307" s="84"/>
      <c r="AV1307" s="84"/>
      <c r="AY1307" s="84"/>
      <c r="AZ1307" s="84"/>
      <c r="BA1307" s="84"/>
      <c r="BB1307" s="84"/>
      <c r="BC1307" s="84"/>
      <c r="BD1307" s="84"/>
      <c r="BE1307" s="84"/>
      <c r="BF1307" s="942"/>
      <c r="BG1307" s="942"/>
      <c r="BH1307" s="942"/>
      <c r="BI1307" s="84"/>
      <c r="BL1307" s="84"/>
      <c r="BM1307" s="84"/>
      <c r="BN1307" s="84"/>
      <c r="BO1307" s="84"/>
      <c r="BP1307" s="84"/>
      <c r="BQ1307" s="84"/>
      <c r="BR1307" s="84"/>
      <c r="BS1307" s="942"/>
      <c r="BT1307" s="942"/>
      <c r="BU1307" s="942"/>
      <c r="BV1307" s="84"/>
    </row>
    <row r="1308" spans="14:74" ht="14.25">
      <c r="N1308" s="84"/>
      <c r="O1308" s="84"/>
      <c r="P1308" s="84"/>
      <c r="Q1308" s="84"/>
      <c r="R1308" s="84"/>
      <c r="S1308" s="84"/>
      <c r="T1308" s="84"/>
      <c r="U1308" s="84"/>
      <c r="V1308" s="84"/>
      <c r="W1308" s="84"/>
      <c r="Y1308" s="84"/>
      <c r="Z1308" s="84"/>
      <c r="AA1308" s="84"/>
      <c r="AB1308" s="84"/>
      <c r="AC1308" s="84"/>
      <c r="AD1308" s="84"/>
      <c r="AE1308" s="84"/>
      <c r="AF1308" s="84"/>
      <c r="AG1308" s="84"/>
      <c r="AH1308" s="84"/>
      <c r="AI1308" s="84"/>
      <c r="AL1308" s="84"/>
      <c r="AM1308" s="84"/>
      <c r="AN1308" s="84"/>
      <c r="AO1308" s="84"/>
      <c r="AP1308" s="84"/>
      <c r="AQ1308" s="84"/>
      <c r="AR1308" s="84"/>
      <c r="AS1308" s="84"/>
      <c r="AT1308" s="84"/>
      <c r="AU1308" s="84"/>
      <c r="AV1308" s="84"/>
      <c r="AY1308" s="84"/>
      <c r="AZ1308" s="84"/>
      <c r="BA1308" s="84"/>
      <c r="BB1308" s="84"/>
      <c r="BC1308" s="84"/>
      <c r="BD1308" s="84"/>
      <c r="BE1308" s="84"/>
      <c r="BF1308" s="942"/>
      <c r="BG1308" s="942"/>
      <c r="BH1308" s="942"/>
      <c r="BI1308" s="84"/>
      <c r="BL1308" s="84"/>
      <c r="BM1308" s="84"/>
      <c r="BN1308" s="84"/>
      <c r="BO1308" s="84"/>
      <c r="BP1308" s="84"/>
      <c r="BQ1308" s="84"/>
      <c r="BR1308" s="84"/>
      <c r="BS1308" s="942"/>
      <c r="BT1308" s="942"/>
      <c r="BU1308" s="942"/>
      <c r="BV1308" s="84"/>
    </row>
    <row r="1309" spans="14:74" ht="14.25">
      <c r="N1309" s="84"/>
      <c r="O1309" s="84"/>
      <c r="P1309" s="84"/>
      <c r="Q1309" s="84"/>
      <c r="R1309" s="84"/>
      <c r="S1309" s="84"/>
      <c r="T1309" s="84"/>
      <c r="U1309" s="84"/>
      <c r="V1309" s="84"/>
      <c r="W1309" s="84"/>
      <c r="Y1309" s="84"/>
      <c r="Z1309" s="84"/>
      <c r="AA1309" s="84"/>
      <c r="AB1309" s="84"/>
      <c r="AC1309" s="84"/>
      <c r="AD1309" s="84"/>
      <c r="AE1309" s="84"/>
      <c r="AF1309" s="84"/>
      <c r="AG1309" s="84"/>
      <c r="AH1309" s="84"/>
      <c r="AI1309" s="84"/>
      <c r="AL1309" s="84"/>
      <c r="AM1309" s="84"/>
      <c r="AN1309" s="84"/>
      <c r="AO1309" s="84"/>
      <c r="AP1309" s="84"/>
      <c r="AQ1309" s="84"/>
      <c r="AR1309" s="84"/>
      <c r="AS1309" s="84"/>
      <c r="AT1309" s="84"/>
      <c r="AU1309" s="84"/>
      <c r="AV1309" s="84"/>
      <c r="AY1309" s="84"/>
      <c r="AZ1309" s="84"/>
      <c r="BA1309" s="84"/>
      <c r="BB1309" s="84"/>
      <c r="BC1309" s="84"/>
      <c r="BD1309" s="84"/>
      <c r="BE1309" s="84"/>
      <c r="BF1309" s="942"/>
      <c r="BG1309" s="942"/>
      <c r="BH1309" s="942"/>
      <c r="BI1309" s="84"/>
      <c r="BL1309" s="84"/>
      <c r="BM1309" s="84"/>
      <c r="BN1309" s="84"/>
      <c r="BO1309" s="84"/>
      <c r="BP1309" s="84"/>
      <c r="BQ1309" s="84"/>
      <c r="BR1309" s="84"/>
      <c r="BS1309" s="942"/>
      <c r="BT1309" s="942"/>
      <c r="BU1309" s="942"/>
      <c r="BV1309" s="84"/>
    </row>
    <row r="1310" spans="14:74" ht="14.25">
      <c r="N1310" s="84"/>
      <c r="O1310" s="84"/>
      <c r="P1310" s="84"/>
      <c r="Q1310" s="84"/>
      <c r="R1310" s="84"/>
      <c r="S1310" s="84"/>
      <c r="T1310" s="84"/>
      <c r="U1310" s="84"/>
      <c r="V1310" s="84"/>
      <c r="W1310" s="84"/>
      <c r="Y1310" s="84"/>
      <c r="Z1310" s="84"/>
      <c r="AA1310" s="84"/>
      <c r="AB1310" s="84"/>
      <c r="AC1310" s="84"/>
      <c r="AD1310" s="84"/>
      <c r="AE1310" s="84"/>
      <c r="AF1310" s="84"/>
      <c r="AG1310" s="84"/>
      <c r="AH1310" s="84"/>
      <c r="AI1310" s="84"/>
      <c r="AL1310" s="84"/>
      <c r="AM1310" s="84"/>
      <c r="AN1310" s="84"/>
      <c r="AO1310" s="84"/>
      <c r="AP1310" s="84"/>
      <c r="AQ1310" s="84"/>
      <c r="AR1310" s="84"/>
      <c r="AS1310" s="84"/>
      <c r="AT1310" s="84"/>
      <c r="AU1310" s="84"/>
      <c r="AV1310" s="84"/>
      <c r="AY1310" s="84"/>
      <c r="AZ1310" s="84"/>
      <c r="BA1310" s="84"/>
      <c r="BB1310" s="84"/>
      <c r="BC1310" s="84"/>
      <c r="BD1310" s="84"/>
      <c r="BE1310" s="84"/>
      <c r="BF1310" s="942"/>
      <c r="BG1310" s="942"/>
      <c r="BH1310" s="942"/>
      <c r="BI1310" s="84"/>
      <c r="BL1310" s="84"/>
      <c r="BM1310" s="84"/>
      <c r="BN1310" s="84"/>
      <c r="BO1310" s="84"/>
      <c r="BP1310" s="84"/>
      <c r="BQ1310" s="84"/>
      <c r="BR1310" s="84"/>
      <c r="BS1310" s="942"/>
      <c r="BT1310" s="942"/>
      <c r="BU1310" s="942"/>
      <c r="BV1310" s="84"/>
    </row>
    <row r="1311" spans="14:74" ht="14.25">
      <c r="N1311" s="84"/>
      <c r="O1311" s="84"/>
      <c r="P1311" s="84"/>
      <c r="Q1311" s="84"/>
      <c r="R1311" s="84"/>
      <c r="S1311" s="84"/>
      <c r="T1311" s="84"/>
      <c r="U1311" s="84"/>
      <c r="V1311" s="84"/>
      <c r="W1311" s="84"/>
      <c r="Y1311" s="84"/>
      <c r="Z1311" s="84"/>
      <c r="AA1311" s="84"/>
      <c r="AB1311" s="84"/>
      <c r="AC1311" s="84"/>
      <c r="AD1311" s="84"/>
      <c r="AE1311" s="84"/>
      <c r="AF1311" s="84"/>
      <c r="AG1311" s="84"/>
      <c r="AH1311" s="84"/>
      <c r="AI1311" s="84"/>
      <c r="AL1311" s="84"/>
      <c r="AM1311" s="84"/>
      <c r="AN1311" s="84"/>
      <c r="AO1311" s="84"/>
      <c r="AP1311" s="84"/>
      <c r="AQ1311" s="84"/>
      <c r="AR1311" s="84"/>
      <c r="AS1311" s="84"/>
      <c r="AT1311" s="84"/>
      <c r="AU1311" s="84"/>
      <c r="AV1311" s="84"/>
      <c r="AY1311" s="84"/>
      <c r="AZ1311" s="84"/>
      <c r="BA1311" s="84"/>
      <c r="BB1311" s="84"/>
      <c r="BC1311" s="84"/>
      <c r="BD1311" s="84"/>
      <c r="BE1311" s="84"/>
      <c r="BF1311" s="942"/>
      <c r="BG1311" s="942"/>
      <c r="BH1311" s="942"/>
      <c r="BI1311" s="84"/>
      <c r="BL1311" s="84"/>
      <c r="BM1311" s="84"/>
      <c r="BN1311" s="84"/>
      <c r="BO1311" s="84"/>
      <c r="BP1311" s="84"/>
      <c r="BQ1311" s="84"/>
      <c r="BR1311" s="84"/>
      <c r="BS1311" s="942"/>
      <c r="BT1311" s="942"/>
      <c r="BU1311" s="942"/>
      <c r="BV1311" s="84"/>
    </row>
    <row r="1312" spans="14:74" ht="14.25">
      <c r="N1312" s="84"/>
      <c r="O1312" s="84"/>
      <c r="P1312" s="84"/>
      <c r="Q1312" s="84"/>
      <c r="R1312" s="84"/>
      <c r="S1312" s="84"/>
      <c r="T1312" s="84"/>
      <c r="U1312" s="84"/>
      <c r="V1312" s="84"/>
      <c r="W1312" s="84"/>
      <c r="Y1312" s="84"/>
      <c r="Z1312" s="84"/>
      <c r="AA1312" s="84"/>
      <c r="AB1312" s="84"/>
      <c r="AC1312" s="84"/>
      <c r="AD1312" s="84"/>
      <c r="AE1312" s="84"/>
      <c r="AF1312" s="84"/>
      <c r="AG1312" s="84"/>
      <c r="AH1312" s="84"/>
      <c r="AI1312" s="84"/>
      <c r="AL1312" s="84"/>
      <c r="AM1312" s="84"/>
      <c r="AN1312" s="84"/>
      <c r="AO1312" s="84"/>
      <c r="AP1312" s="84"/>
      <c r="AQ1312" s="84"/>
      <c r="AR1312" s="84"/>
      <c r="AS1312" s="84"/>
      <c r="AT1312" s="84"/>
      <c r="AU1312" s="84"/>
      <c r="AV1312" s="84"/>
      <c r="AY1312" s="84"/>
      <c r="AZ1312" s="84"/>
      <c r="BA1312" s="84"/>
      <c r="BB1312" s="84"/>
      <c r="BC1312" s="84"/>
      <c r="BD1312" s="84"/>
      <c r="BE1312" s="84"/>
      <c r="BF1312" s="942"/>
      <c r="BG1312" s="942"/>
      <c r="BH1312" s="942"/>
      <c r="BI1312" s="84"/>
      <c r="BL1312" s="84"/>
      <c r="BM1312" s="84"/>
      <c r="BN1312" s="84"/>
      <c r="BO1312" s="84"/>
      <c r="BP1312" s="84"/>
      <c r="BQ1312" s="84"/>
      <c r="BR1312" s="84"/>
      <c r="BS1312" s="942"/>
      <c r="BT1312" s="942"/>
      <c r="BU1312" s="942"/>
      <c r="BV1312" s="84"/>
    </row>
    <row r="1313" spans="14:74" ht="14.25">
      <c r="N1313" s="84"/>
      <c r="O1313" s="84"/>
      <c r="P1313" s="84"/>
      <c r="Q1313" s="84"/>
      <c r="R1313" s="84"/>
      <c r="S1313" s="84"/>
      <c r="T1313" s="84"/>
      <c r="U1313" s="84"/>
      <c r="V1313" s="84"/>
      <c r="W1313" s="84"/>
      <c r="Y1313" s="84"/>
      <c r="Z1313" s="84"/>
      <c r="AA1313" s="84"/>
      <c r="AB1313" s="84"/>
      <c r="AC1313" s="84"/>
      <c r="AD1313" s="84"/>
      <c r="AE1313" s="84"/>
      <c r="AF1313" s="84"/>
      <c r="AG1313" s="84"/>
      <c r="AH1313" s="84"/>
      <c r="AI1313" s="84"/>
      <c r="AL1313" s="84"/>
      <c r="AM1313" s="84"/>
      <c r="AN1313" s="84"/>
      <c r="AO1313" s="84"/>
      <c r="AP1313" s="84"/>
      <c r="AQ1313" s="84"/>
      <c r="AR1313" s="84"/>
      <c r="AS1313" s="84"/>
      <c r="AT1313" s="84"/>
      <c r="AU1313" s="84"/>
      <c r="AV1313" s="84"/>
      <c r="AY1313" s="84"/>
      <c r="AZ1313" s="84"/>
      <c r="BA1313" s="84"/>
      <c r="BB1313" s="84"/>
      <c r="BC1313" s="84"/>
      <c r="BD1313" s="84"/>
      <c r="BE1313" s="84"/>
      <c r="BF1313" s="942"/>
      <c r="BG1313" s="942"/>
      <c r="BH1313" s="942"/>
      <c r="BI1313" s="84"/>
      <c r="BL1313" s="84"/>
      <c r="BM1313" s="84"/>
      <c r="BN1313" s="84"/>
      <c r="BO1313" s="84"/>
      <c r="BP1313" s="84"/>
      <c r="BQ1313" s="84"/>
      <c r="BR1313" s="84"/>
      <c r="BS1313" s="942"/>
      <c r="BT1313" s="942"/>
      <c r="BU1313" s="942"/>
      <c r="BV1313" s="84"/>
    </row>
    <row r="1314" spans="14:74" ht="14.25">
      <c r="N1314" s="84"/>
      <c r="O1314" s="84"/>
      <c r="P1314" s="84"/>
      <c r="Q1314" s="84"/>
      <c r="R1314" s="84"/>
      <c r="S1314" s="84"/>
      <c r="T1314" s="84"/>
      <c r="U1314" s="84"/>
      <c r="V1314" s="84"/>
      <c r="W1314" s="84"/>
      <c r="Y1314" s="84"/>
      <c r="Z1314" s="84"/>
      <c r="AA1314" s="84"/>
      <c r="AB1314" s="84"/>
      <c r="AC1314" s="84"/>
      <c r="AD1314" s="84"/>
      <c r="AE1314" s="84"/>
      <c r="AF1314" s="84"/>
      <c r="AG1314" s="84"/>
      <c r="AH1314" s="84"/>
      <c r="AI1314" s="84"/>
      <c r="AL1314" s="84"/>
      <c r="AM1314" s="84"/>
      <c r="AN1314" s="84"/>
      <c r="AO1314" s="84"/>
      <c r="AP1314" s="84"/>
      <c r="AQ1314" s="84"/>
      <c r="AR1314" s="84"/>
      <c r="AS1314" s="84"/>
      <c r="AT1314" s="84"/>
      <c r="AU1314" s="84"/>
      <c r="AV1314" s="84"/>
      <c r="AY1314" s="84"/>
      <c r="AZ1314" s="84"/>
      <c r="BA1314" s="84"/>
      <c r="BB1314" s="84"/>
      <c r="BC1314" s="84"/>
      <c r="BD1314" s="84"/>
      <c r="BE1314" s="84"/>
      <c r="BF1314" s="942"/>
      <c r="BG1314" s="942"/>
      <c r="BH1314" s="942"/>
      <c r="BI1314" s="84"/>
      <c r="BL1314" s="84"/>
      <c r="BM1314" s="84"/>
      <c r="BN1314" s="84"/>
      <c r="BO1314" s="84"/>
      <c r="BP1314" s="84"/>
      <c r="BQ1314" s="84"/>
      <c r="BR1314" s="84"/>
      <c r="BS1314" s="942"/>
      <c r="BT1314" s="942"/>
      <c r="BU1314" s="942"/>
      <c r="BV1314" s="84"/>
    </row>
    <row r="1315" spans="14:74" ht="14.25">
      <c r="N1315" s="84"/>
      <c r="O1315" s="84"/>
      <c r="P1315" s="84"/>
      <c r="Q1315" s="84"/>
      <c r="R1315" s="84"/>
      <c r="S1315" s="84"/>
      <c r="T1315" s="84"/>
      <c r="U1315" s="84"/>
      <c r="V1315" s="84"/>
      <c r="W1315" s="84"/>
      <c r="Y1315" s="84"/>
      <c r="Z1315" s="84"/>
      <c r="AA1315" s="84"/>
      <c r="AB1315" s="84"/>
      <c r="AC1315" s="84"/>
      <c r="AD1315" s="84"/>
      <c r="AE1315" s="84"/>
      <c r="AF1315" s="84"/>
      <c r="AG1315" s="84"/>
      <c r="AH1315" s="84"/>
      <c r="AI1315" s="84"/>
      <c r="AL1315" s="84"/>
      <c r="AM1315" s="84"/>
      <c r="AN1315" s="84"/>
      <c r="AO1315" s="84"/>
      <c r="AP1315" s="84"/>
      <c r="AQ1315" s="84"/>
      <c r="AR1315" s="84"/>
      <c r="AS1315" s="84"/>
      <c r="AT1315" s="84"/>
      <c r="AU1315" s="84"/>
      <c r="AV1315" s="84"/>
      <c r="AY1315" s="84"/>
      <c r="AZ1315" s="84"/>
      <c r="BA1315" s="84"/>
      <c r="BB1315" s="84"/>
      <c r="BC1315" s="84"/>
      <c r="BD1315" s="84"/>
      <c r="BE1315" s="84"/>
      <c r="BF1315" s="942"/>
      <c r="BG1315" s="942"/>
      <c r="BH1315" s="942"/>
      <c r="BI1315" s="84"/>
      <c r="BL1315" s="84"/>
      <c r="BM1315" s="84"/>
      <c r="BN1315" s="84"/>
      <c r="BO1315" s="84"/>
      <c r="BP1315" s="84"/>
      <c r="BQ1315" s="84"/>
      <c r="BR1315" s="84"/>
      <c r="BS1315" s="942"/>
      <c r="BT1315" s="942"/>
      <c r="BU1315" s="942"/>
      <c r="BV1315" s="84"/>
    </row>
    <row r="1316" spans="14:74" ht="14.25">
      <c r="N1316" s="84"/>
      <c r="O1316" s="84"/>
      <c r="P1316" s="84"/>
      <c r="Q1316" s="84"/>
      <c r="R1316" s="84"/>
      <c r="S1316" s="84"/>
      <c r="T1316" s="84"/>
      <c r="U1316" s="84"/>
      <c r="V1316" s="84"/>
      <c r="W1316" s="84"/>
      <c r="Y1316" s="84"/>
      <c r="Z1316" s="84"/>
      <c r="AA1316" s="84"/>
      <c r="AB1316" s="84"/>
      <c r="AC1316" s="84"/>
      <c r="AD1316" s="84"/>
      <c r="AE1316" s="84"/>
      <c r="AF1316" s="84"/>
      <c r="AG1316" s="84"/>
      <c r="AH1316" s="84"/>
      <c r="AI1316" s="84"/>
      <c r="AL1316" s="84"/>
      <c r="AM1316" s="84"/>
      <c r="AN1316" s="84"/>
      <c r="AO1316" s="84"/>
      <c r="AP1316" s="84"/>
      <c r="AQ1316" s="84"/>
      <c r="AR1316" s="84"/>
      <c r="AS1316" s="84"/>
      <c r="AT1316" s="84"/>
      <c r="AU1316" s="84"/>
      <c r="AV1316" s="84"/>
      <c r="AY1316" s="84"/>
      <c r="AZ1316" s="84"/>
      <c r="BA1316" s="84"/>
      <c r="BB1316" s="84"/>
      <c r="BC1316" s="84"/>
      <c r="BD1316" s="84"/>
      <c r="BE1316" s="84"/>
      <c r="BF1316" s="942"/>
      <c r="BG1316" s="942"/>
      <c r="BH1316" s="942"/>
      <c r="BI1316" s="84"/>
      <c r="BL1316" s="84"/>
      <c r="BM1316" s="84"/>
      <c r="BN1316" s="84"/>
      <c r="BO1316" s="84"/>
      <c r="BP1316" s="84"/>
      <c r="BQ1316" s="84"/>
      <c r="BR1316" s="84"/>
      <c r="BS1316" s="942"/>
      <c r="BT1316" s="942"/>
      <c r="BU1316" s="942"/>
      <c r="BV1316" s="84"/>
    </row>
    <row r="1317" spans="14:74" ht="14.25">
      <c r="N1317" s="84"/>
      <c r="O1317" s="84"/>
      <c r="P1317" s="84"/>
      <c r="Q1317" s="84"/>
      <c r="R1317" s="84"/>
      <c r="S1317" s="84"/>
      <c r="T1317" s="84"/>
      <c r="U1317" s="84"/>
      <c r="V1317" s="84"/>
      <c r="W1317" s="84"/>
      <c r="Y1317" s="84"/>
      <c r="Z1317" s="84"/>
      <c r="AA1317" s="84"/>
      <c r="AB1317" s="84"/>
      <c r="AC1317" s="84"/>
      <c r="AD1317" s="84"/>
      <c r="AE1317" s="84"/>
      <c r="AF1317" s="84"/>
      <c r="AG1317" s="84"/>
      <c r="AH1317" s="84"/>
      <c r="AI1317" s="84"/>
      <c r="AL1317" s="84"/>
      <c r="AM1317" s="84"/>
      <c r="AN1317" s="84"/>
      <c r="AO1317" s="84"/>
      <c r="AP1317" s="84"/>
      <c r="AQ1317" s="84"/>
      <c r="AR1317" s="84"/>
      <c r="AS1317" s="84"/>
      <c r="AT1317" s="84"/>
      <c r="AU1317" s="84"/>
      <c r="AV1317" s="84"/>
      <c r="AY1317" s="84"/>
      <c r="AZ1317" s="84"/>
      <c r="BA1317" s="84"/>
      <c r="BB1317" s="84"/>
      <c r="BC1317" s="84"/>
      <c r="BD1317" s="84"/>
      <c r="BE1317" s="84"/>
      <c r="BF1317" s="942"/>
      <c r="BG1317" s="942"/>
      <c r="BH1317" s="942"/>
      <c r="BI1317" s="84"/>
      <c r="BL1317" s="84"/>
      <c r="BM1317" s="84"/>
      <c r="BN1317" s="84"/>
      <c r="BO1317" s="84"/>
      <c r="BP1317" s="84"/>
      <c r="BQ1317" s="84"/>
      <c r="BR1317" s="84"/>
      <c r="BS1317" s="942"/>
      <c r="BT1317" s="942"/>
      <c r="BU1317" s="942"/>
      <c r="BV1317" s="84"/>
    </row>
    <row r="1318" spans="14:74" ht="14.25">
      <c r="N1318" s="84"/>
      <c r="O1318" s="84"/>
      <c r="P1318" s="84"/>
      <c r="Q1318" s="84"/>
      <c r="R1318" s="84"/>
      <c r="S1318" s="84"/>
      <c r="T1318" s="84"/>
      <c r="U1318" s="84"/>
      <c r="V1318" s="84"/>
      <c r="W1318" s="84"/>
      <c r="Y1318" s="84"/>
      <c r="Z1318" s="84"/>
      <c r="AA1318" s="84"/>
      <c r="AB1318" s="84"/>
      <c r="AC1318" s="84"/>
      <c r="AD1318" s="84"/>
      <c r="AE1318" s="84"/>
      <c r="AF1318" s="84"/>
      <c r="AG1318" s="84"/>
      <c r="AH1318" s="84"/>
      <c r="AI1318" s="84"/>
      <c r="AL1318" s="84"/>
      <c r="AM1318" s="84"/>
      <c r="AN1318" s="84"/>
      <c r="AO1318" s="84"/>
      <c r="AP1318" s="84"/>
      <c r="AQ1318" s="84"/>
      <c r="AR1318" s="84"/>
      <c r="AS1318" s="84"/>
      <c r="AT1318" s="84"/>
      <c r="AU1318" s="84"/>
      <c r="AV1318" s="84"/>
      <c r="AY1318" s="84"/>
      <c r="AZ1318" s="84"/>
      <c r="BA1318" s="84"/>
      <c r="BB1318" s="84"/>
      <c r="BC1318" s="84"/>
      <c r="BD1318" s="84"/>
      <c r="BE1318" s="84"/>
      <c r="BF1318" s="942"/>
      <c r="BG1318" s="942"/>
      <c r="BH1318" s="942"/>
      <c r="BI1318" s="84"/>
      <c r="BL1318" s="84"/>
      <c r="BM1318" s="84"/>
      <c r="BN1318" s="84"/>
      <c r="BO1318" s="84"/>
      <c r="BP1318" s="84"/>
      <c r="BQ1318" s="84"/>
      <c r="BR1318" s="84"/>
      <c r="BS1318" s="942"/>
      <c r="BT1318" s="942"/>
      <c r="BU1318" s="942"/>
      <c r="BV1318" s="84"/>
    </row>
    <row r="1319" spans="14:74" ht="14.25">
      <c r="N1319" s="84"/>
      <c r="O1319" s="84"/>
      <c r="P1319" s="84"/>
      <c r="Q1319" s="84"/>
      <c r="R1319" s="84"/>
      <c r="S1319" s="84"/>
      <c r="T1319" s="84"/>
      <c r="U1319" s="84"/>
      <c r="V1319" s="84"/>
      <c r="W1319" s="84"/>
      <c r="Y1319" s="84"/>
      <c r="Z1319" s="84"/>
      <c r="AA1319" s="84"/>
      <c r="AB1319" s="84"/>
      <c r="AC1319" s="84"/>
      <c r="AD1319" s="84"/>
      <c r="AE1319" s="84"/>
      <c r="AF1319" s="84"/>
      <c r="AG1319" s="84"/>
      <c r="AH1319" s="84"/>
      <c r="AI1319" s="84"/>
      <c r="AL1319" s="84"/>
      <c r="AM1319" s="84"/>
      <c r="AN1319" s="84"/>
      <c r="AO1319" s="84"/>
      <c r="AP1319" s="84"/>
      <c r="AQ1319" s="84"/>
      <c r="AR1319" s="84"/>
      <c r="AS1319" s="84"/>
      <c r="AT1319" s="84"/>
      <c r="AU1319" s="84"/>
      <c r="AV1319" s="84"/>
      <c r="AY1319" s="84"/>
      <c r="AZ1319" s="84"/>
      <c r="BA1319" s="84"/>
      <c r="BB1319" s="84"/>
      <c r="BC1319" s="84"/>
      <c r="BD1319" s="84"/>
      <c r="BE1319" s="84"/>
      <c r="BF1319" s="942"/>
      <c r="BG1319" s="942"/>
      <c r="BH1319" s="942"/>
      <c r="BI1319" s="84"/>
      <c r="BL1319" s="84"/>
      <c r="BM1319" s="84"/>
      <c r="BN1319" s="84"/>
      <c r="BO1319" s="84"/>
      <c r="BP1319" s="84"/>
      <c r="BQ1319" s="84"/>
      <c r="BR1319" s="84"/>
      <c r="BS1319" s="942"/>
      <c r="BT1319" s="942"/>
      <c r="BU1319" s="942"/>
      <c r="BV1319" s="84"/>
    </row>
    <row r="1320" spans="14:74" ht="14.25">
      <c r="N1320" s="84"/>
      <c r="O1320" s="84"/>
      <c r="P1320" s="84"/>
      <c r="Q1320" s="84"/>
      <c r="R1320" s="84"/>
      <c r="S1320" s="84"/>
      <c r="T1320" s="84"/>
      <c r="U1320" s="84"/>
      <c r="V1320" s="84"/>
      <c r="W1320" s="84"/>
      <c r="Y1320" s="84"/>
      <c r="Z1320" s="84"/>
      <c r="AA1320" s="84"/>
      <c r="AB1320" s="84"/>
      <c r="AC1320" s="84"/>
      <c r="AD1320" s="84"/>
      <c r="AE1320" s="84"/>
      <c r="AF1320" s="84"/>
      <c r="AG1320" s="84"/>
      <c r="AH1320" s="84"/>
      <c r="AI1320" s="84"/>
      <c r="AL1320" s="84"/>
      <c r="AM1320" s="84"/>
      <c r="AN1320" s="84"/>
      <c r="AO1320" s="84"/>
      <c r="AP1320" s="84"/>
      <c r="AQ1320" s="84"/>
      <c r="AR1320" s="84"/>
      <c r="AS1320" s="84"/>
      <c r="AT1320" s="84"/>
      <c r="AU1320" s="84"/>
      <c r="AV1320" s="84"/>
      <c r="AY1320" s="84"/>
      <c r="AZ1320" s="84"/>
      <c r="BA1320" s="84"/>
      <c r="BB1320" s="84"/>
      <c r="BC1320" s="84"/>
      <c r="BD1320" s="84"/>
      <c r="BE1320" s="84"/>
      <c r="BF1320" s="942"/>
      <c r="BG1320" s="942"/>
      <c r="BH1320" s="942"/>
      <c r="BI1320" s="84"/>
      <c r="BL1320" s="84"/>
      <c r="BM1320" s="84"/>
      <c r="BN1320" s="84"/>
      <c r="BO1320" s="84"/>
      <c r="BP1320" s="84"/>
      <c r="BQ1320" s="84"/>
      <c r="BR1320" s="84"/>
      <c r="BS1320" s="942"/>
      <c r="BT1320" s="942"/>
      <c r="BU1320" s="942"/>
      <c r="BV1320" s="84"/>
    </row>
    <row r="1321" spans="14:74" ht="14.25">
      <c r="N1321" s="84"/>
      <c r="O1321" s="84"/>
      <c r="P1321" s="84"/>
      <c r="Q1321" s="84"/>
      <c r="R1321" s="84"/>
      <c r="S1321" s="84"/>
      <c r="T1321" s="84"/>
      <c r="U1321" s="84"/>
      <c r="V1321" s="84"/>
      <c r="W1321" s="84"/>
      <c r="Y1321" s="84"/>
      <c r="Z1321" s="84"/>
      <c r="AA1321" s="84"/>
      <c r="AB1321" s="84"/>
      <c r="AC1321" s="84"/>
      <c r="AD1321" s="84"/>
      <c r="AE1321" s="84"/>
      <c r="AF1321" s="84"/>
      <c r="AG1321" s="84"/>
      <c r="AH1321" s="84"/>
      <c r="AI1321" s="84"/>
      <c r="AL1321" s="84"/>
      <c r="AM1321" s="84"/>
      <c r="AN1321" s="84"/>
      <c r="AO1321" s="84"/>
      <c r="AP1321" s="84"/>
      <c r="AQ1321" s="84"/>
      <c r="AR1321" s="84"/>
      <c r="AS1321" s="84"/>
      <c r="AT1321" s="84"/>
      <c r="AU1321" s="84"/>
      <c r="AV1321" s="84"/>
      <c r="AY1321" s="84"/>
      <c r="AZ1321" s="84"/>
      <c r="BA1321" s="84"/>
      <c r="BB1321" s="84"/>
      <c r="BC1321" s="84"/>
      <c r="BD1321" s="84"/>
      <c r="BE1321" s="84"/>
      <c r="BF1321" s="942"/>
      <c r="BG1321" s="942"/>
      <c r="BH1321" s="942"/>
      <c r="BI1321" s="84"/>
      <c r="BL1321" s="84"/>
      <c r="BM1321" s="84"/>
      <c r="BN1321" s="84"/>
      <c r="BO1321" s="84"/>
      <c r="BP1321" s="84"/>
      <c r="BQ1321" s="84"/>
      <c r="BR1321" s="84"/>
      <c r="BS1321" s="942"/>
      <c r="BT1321" s="942"/>
      <c r="BU1321" s="942"/>
      <c r="BV1321" s="84"/>
    </row>
    <row r="1322" spans="14:74" ht="14.25">
      <c r="N1322" s="84"/>
      <c r="O1322" s="84"/>
      <c r="P1322" s="84"/>
      <c r="Q1322" s="84"/>
      <c r="R1322" s="84"/>
      <c r="S1322" s="84"/>
      <c r="T1322" s="84"/>
      <c r="U1322" s="84"/>
      <c r="V1322" s="84"/>
      <c r="W1322" s="84"/>
      <c r="Y1322" s="84"/>
      <c r="Z1322" s="84"/>
      <c r="AA1322" s="84"/>
      <c r="AB1322" s="84"/>
      <c r="AC1322" s="84"/>
      <c r="AD1322" s="84"/>
      <c r="AE1322" s="84"/>
      <c r="AF1322" s="84"/>
      <c r="AG1322" s="84"/>
      <c r="AH1322" s="84"/>
      <c r="AI1322" s="84"/>
      <c r="AL1322" s="84"/>
      <c r="AM1322" s="84"/>
      <c r="AN1322" s="84"/>
      <c r="AO1322" s="84"/>
      <c r="AP1322" s="84"/>
      <c r="AQ1322" s="84"/>
      <c r="AR1322" s="84"/>
      <c r="AS1322" s="84"/>
      <c r="AT1322" s="84"/>
      <c r="AU1322" s="84"/>
      <c r="AV1322" s="84"/>
      <c r="AY1322" s="84"/>
      <c r="AZ1322" s="84"/>
      <c r="BA1322" s="84"/>
      <c r="BB1322" s="84"/>
      <c r="BC1322" s="84"/>
      <c r="BD1322" s="84"/>
      <c r="BE1322" s="84"/>
      <c r="BF1322" s="942"/>
      <c r="BG1322" s="942"/>
      <c r="BH1322" s="942"/>
      <c r="BI1322" s="84"/>
      <c r="BL1322" s="84"/>
      <c r="BM1322" s="84"/>
      <c r="BN1322" s="84"/>
      <c r="BO1322" s="84"/>
      <c r="BP1322" s="84"/>
      <c r="BQ1322" s="84"/>
      <c r="BR1322" s="84"/>
      <c r="BS1322" s="942"/>
      <c r="BT1322" s="942"/>
      <c r="BU1322" s="942"/>
      <c r="BV1322" s="84"/>
    </row>
    <row r="1323" spans="14:74" ht="14.25">
      <c r="N1323" s="84"/>
      <c r="O1323" s="84"/>
      <c r="P1323" s="84"/>
      <c r="Q1323" s="84"/>
      <c r="R1323" s="84"/>
      <c r="S1323" s="84"/>
      <c r="T1323" s="84"/>
      <c r="U1323" s="84"/>
      <c r="V1323" s="84"/>
      <c r="W1323" s="84"/>
      <c r="Y1323" s="84"/>
      <c r="Z1323" s="84"/>
      <c r="AA1323" s="84"/>
      <c r="AB1323" s="84"/>
      <c r="AC1323" s="84"/>
      <c r="AD1323" s="84"/>
      <c r="AE1323" s="84"/>
      <c r="AF1323" s="84"/>
      <c r="AG1323" s="84"/>
      <c r="AH1323" s="84"/>
      <c r="AI1323" s="84"/>
      <c r="AL1323" s="84"/>
      <c r="AM1323" s="84"/>
      <c r="AN1323" s="84"/>
      <c r="AO1323" s="84"/>
      <c r="AP1323" s="84"/>
      <c r="AQ1323" s="84"/>
      <c r="AR1323" s="84"/>
      <c r="AS1323" s="84"/>
      <c r="AT1323" s="84"/>
      <c r="AU1323" s="84"/>
      <c r="AV1323" s="84"/>
      <c r="AY1323" s="84"/>
      <c r="AZ1323" s="84"/>
      <c r="BA1323" s="84"/>
      <c r="BB1323" s="84"/>
      <c r="BC1323" s="84"/>
      <c r="BD1323" s="84"/>
      <c r="BE1323" s="84"/>
      <c r="BF1323" s="942"/>
      <c r="BG1323" s="942"/>
      <c r="BH1323" s="942"/>
      <c r="BI1323" s="84"/>
      <c r="BL1323" s="84"/>
      <c r="BM1323" s="84"/>
      <c r="BN1323" s="84"/>
      <c r="BO1323" s="84"/>
      <c r="BP1323" s="84"/>
      <c r="BQ1323" s="84"/>
      <c r="BR1323" s="84"/>
      <c r="BS1323" s="942"/>
      <c r="BT1323" s="942"/>
      <c r="BU1323" s="942"/>
      <c r="BV1323" s="84"/>
    </row>
    <row r="1324" spans="14:74" ht="14.25">
      <c r="N1324" s="84"/>
      <c r="O1324" s="84"/>
      <c r="P1324" s="84"/>
      <c r="Q1324" s="84"/>
      <c r="R1324" s="84"/>
      <c r="S1324" s="84"/>
      <c r="T1324" s="84"/>
      <c r="U1324" s="84"/>
      <c r="V1324" s="84"/>
      <c r="W1324" s="84"/>
      <c r="Y1324" s="84"/>
      <c r="Z1324" s="84"/>
      <c r="AA1324" s="84"/>
      <c r="AB1324" s="84"/>
      <c r="AC1324" s="84"/>
      <c r="AD1324" s="84"/>
      <c r="AE1324" s="84"/>
      <c r="AF1324" s="84"/>
      <c r="AG1324" s="84"/>
      <c r="AH1324" s="84"/>
      <c r="AI1324" s="84"/>
      <c r="AL1324" s="84"/>
      <c r="AM1324" s="84"/>
      <c r="AN1324" s="84"/>
      <c r="AO1324" s="84"/>
      <c r="AP1324" s="84"/>
      <c r="AQ1324" s="84"/>
      <c r="AR1324" s="84"/>
      <c r="AS1324" s="84"/>
      <c r="AT1324" s="84"/>
      <c r="AU1324" s="84"/>
      <c r="AV1324" s="84"/>
      <c r="AY1324" s="84"/>
      <c r="AZ1324" s="84"/>
      <c r="BA1324" s="84"/>
      <c r="BB1324" s="84"/>
      <c r="BC1324" s="84"/>
      <c r="BD1324" s="84"/>
      <c r="BE1324" s="84"/>
      <c r="BF1324" s="942"/>
      <c r="BG1324" s="942"/>
      <c r="BH1324" s="942"/>
      <c r="BI1324" s="84"/>
      <c r="BL1324" s="84"/>
      <c r="BM1324" s="84"/>
      <c r="BN1324" s="84"/>
      <c r="BO1324" s="84"/>
      <c r="BP1324" s="84"/>
      <c r="BQ1324" s="84"/>
      <c r="BR1324" s="84"/>
      <c r="BS1324" s="942"/>
      <c r="BT1324" s="942"/>
      <c r="BU1324" s="942"/>
      <c r="BV1324" s="84"/>
    </row>
    <row r="1325" spans="14:74" ht="14.25">
      <c r="N1325" s="84"/>
      <c r="O1325" s="84"/>
      <c r="P1325" s="84"/>
      <c r="Q1325" s="84"/>
      <c r="R1325" s="84"/>
      <c r="S1325" s="84"/>
      <c r="T1325" s="84"/>
      <c r="U1325" s="84"/>
      <c r="V1325" s="84"/>
      <c r="W1325" s="84"/>
      <c r="Y1325" s="84"/>
      <c r="Z1325" s="84"/>
      <c r="AA1325" s="84"/>
      <c r="AB1325" s="84"/>
      <c r="AC1325" s="84"/>
      <c r="AD1325" s="84"/>
      <c r="AE1325" s="84"/>
      <c r="AF1325" s="84"/>
      <c r="AG1325" s="84"/>
      <c r="AH1325" s="84"/>
      <c r="AI1325" s="84"/>
      <c r="AL1325" s="84"/>
      <c r="AM1325" s="84"/>
      <c r="AN1325" s="84"/>
      <c r="AO1325" s="84"/>
      <c r="AP1325" s="84"/>
      <c r="AQ1325" s="84"/>
      <c r="AR1325" s="84"/>
      <c r="AS1325" s="84"/>
      <c r="AT1325" s="84"/>
      <c r="AU1325" s="84"/>
      <c r="AV1325" s="84"/>
      <c r="AY1325" s="84"/>
      <c r="AZ1325" s="84"/>
      <c r="BA1325" s="84"/>
      <c r="BB1325" s="84"/>
      <c r="BC1325" s="84"/>
      <c r="BD1325" s="84"/>
      <c r="BE1325" s="84"/>
      <c r="BF1325" s="942"/>
      <c r="BG1325" s="942"/>
      <c r="BH1325" s="942"/>
      <c r="BI1325" s="84"/>
      <c r="BL1325" s="84"/>
      <c r="BM1325" s="84"/>
      <c r="BN1325" s="84"/>
      <c r="BO1325" s="84"/>
      <c r="BP1325" s="84"/>
      <c r="BQ1325" s="84"/>
      <c r="BR1325" s="84"/>
      <c r="BS1325" s="942"/>
      <c r="BT1325" s="942"/>
      <c r="BU1325" s="942"/>
      <c r="BV1325" s="84"/>
    </row>
    <row r="1326" spans="14:74" ht="14.25">
      <c r="N1326" s="84"/>
      <c r="O1326" s="84"/>
      <c r="P1326" s="84"/>
      <c r="Q1326" s="84"/>
      <c r="R1326" s="84"/>
      <c r="S1326" s="84"/>
      <c r="T1326" s="84"/>
      <c r="U1326" s="84"/>
      <c r="V1326" s="84"/>
      <c r="W1326" s="84"/>
      <c r="Y1326" s="84"/>
      <c r="Z1326" s="84"/>
      <c r="AA1326" s="84"/>
      <c r="AB1326" s="84"/>
      <c r="AC1326" s="84"/>
      <c r="AD1326" s="84"/>
      <c r="AE1326" s="84"/>
      <c r="AF1326" s="84"/>
      <c r="AG1326" s="84"/>
      <c r="AH1326" s="84"/>
      <c r="AI1326" s="84"/>
      <c r="AL1326" s="84"/>
      <c r="AM1326" s="84"/>
      <c r="AN1326" s="84"/>
      <c r="AO1326" s="84"/>
      <c r="AP1326" s="84"/>
      <c r="AQ1326" s="84"/>
      <c r="AR1326" s="84"/>
      <c r="AS1326" s="84"/>
      <c r="AT1326" s="84"/>
      <c r="AU1326" s="84"/>
      <c r="AV1326" s="84"/>
      <c r="AY1326" s="84"/>
      <c r="AZ1326" s="84"/>
      <c r="BA1326" s="84"/>
      <c r="BB1326" s="84"/>
      <c r="BC1326" s="84"/>
      <c r="BD1326" s="84"/>
      <c r="BE1326" s="84"/>
      <c r="BF1326" s="942"/>
      <c r="BG1326" s="942"/>
      <c r="BH1326" s="942"/>
      <c r="BI1326" s="84"/>
      <c r="BL1326" s="84"/>
      <c r="BM1326" s="84"/>
      <c r="BN1326" s="84"/>
      <c r="BO1326" s="84"/>
      <c r="BP1326" s="84"/>
      <c r="BQ1326" s="84"/>
      <c r="BR1326" s="84"/>
      <c r="BS1326" s="942"/>
      <c r="BT1326" s="942"/>
      <c r="BU1326" s="942"/>
      <c r="BV1326" s="84"/>
    </row>
    <row r="1327" spans="14:74" ht="14.25">
      <c r="N1327" s="84"/>
      <c r="O1327" s="84"/>
      <c r="P1327" s="84"/>
      <c r="Q1327" s="84"/>
      <c r="R1327" s="84"/>
      <c r="S1327" s="84"/>
      <c r="T1327" s="84"/>
      <c r="U1327" s="84"/>
      <c r="V1327" s="84"/>
      <c r="W1327" s="84"/>
      <c r="Y1327" s="84"/>
      <c r="Z1327" s="84"/>
      <c r="AA1327" s="84"/>
      <c r="AB1327" s="84"/>
      <c r="AC1327" s="84"/>
      <c r="AD1327" s="84"/>
      <c r="AE1327" s="84"/>
      <c r="AF1327" s="84"/>
      <c r="AG1327" s="84"/>
      <c r="AH1327" s="84"/>
      <c r="AI1327" s="84"/>
      <c r="AL1327" s="84"/>
      <c r="AM1327" s="84"/>
      <c r="AN1327" s="84"/>
      <c r="AO1327" s="84"/>
      <c r="AP1327" s="84"/>
      <c r="AQ1327" s="84"/>
      <c r="AR1327" s="84"/>
      <c r="AS1327" s="84"/>
      <c r="AT1327" s="84"/>
      <c r="AU1327" s="84"/>
      <c r="AV1327" s="84"/>
      <c r="AY1327" s="84"/>
      <c r="AZ1327" s="84"/>
      <c r="BA1327" s="84"/>
      <c r="BB1327" s="84"/>
      <c r="BC1327" s="84"/>
      <c r="BD1327" s="84"/>
      <c r="BE1327" s="84"/>
      <c r="BF1327" s="942"/>
      <c r="BG1327" s="942"/>
      <c r="BH1327" s="942"/>
      <c r="BI1327" s="84"/>
      <c r="BL1327" s="84"/>
      <c r="BM1327" s="84"/>
      <c r="BN1327" s="84"/>
      <c r="BO1327" s="84"/>
      <c r="BP1327" s="84"/>
      <c r="BQ1327" s="84"/>
      <c r="BR1327" s="84"/>
      <c r="BS1327" s="942"/>
      <c r="BT1327" s="942"/>
      <c r="BU1327" s="942"/>
      <c r="BV1327" s="84"/>
    </row>
    <row r="1328" spans="14:74" ht="14.25">
      <c r="N1328" s="84"/>
      <c r="O1328" s="84"/>
      <c r="P1328" s="84"/>
      <c r="Q1328" s="84"/>
      <c r="R1328" s="84"/>
      <c r="S1328" s="84"/>
      <c r="T1328" s="84"/>
      <c r="U1328" s="84"/>
      <c r="V1328" s="84"/>
      <c r="W1328" s="84"/>
      <c r="Y1328" s="84"/>
      <c r="Z1328" s="84"/>
      <c r="AA1328" s="84"/>
      <c r="AB1328" s="84"/>
      <c r="AC1328" s="84"/>
      <c r="AD1328" s="84"/>
      <c r="AE1328" s="84"/>
      <c r="AF1328" s="84"/>
      <c r="AG1328" s="84"/>
      <c r="AH1328" s="84"/>
      <c r="AI1328" s="84"/>
      <c r="AL1328" s="84"/>
      <c r="AM1328" s="84"/>
      <c r="AN1328" s="84"/>
      <c r="AO1328" s="84"/>
      <c r="AP1328" s="84"/>
      <c r="AQ1328" s="84"/>
      <c r="AR1328" s="84"/>
      <c r="AS1328" s="84"/>
      <c r="AT1328" s="84"/>
      <c r="AU1328" s="84"/>
      <c r="AV1328" s="84"/>
      <c r="AY1328" s="84"/>
      <c r="AZ1328" s="84"/>
      <c r="BA1328" s="84"/>
      <c r="BB1328" s="84"/>
      <c r="BC1328" s="84"/>
      <c r="BD1328" s="84"/>
      <c r="BE1328" s="84"/>
      <c r="BF1328" s="942"/>
      <c r="BG1328" s="942"/>
      <c r="BH1328" s="942"/>
      <c r="BI1328" s="84"/>
      <c r="BL1328" s="84"/>
      <c r="BM1328" s="84"/>
      <c r="BN1328" s="84"/>
      <c r="BO1328" s="84"/>
      <c r="BP1328" s="84"/>
      <c r="BQ1328" s="84"/>
      <c r="BR1328" s="84"/>
      <c r="BS1328" s="942"/>
      <c r="BT1328" s="942"/>
      <c r="BU1328" s="942"/>
      <c r="BV1328" s="84"/>
    </row>
    <row r="1329" spans="14:74" ht="14.25">
      <c r="N1329" s="84"/>
      <c r="O1329" s="84"/>
      <c r="P1329" s="84"/>
      <c r="Q1329" s="84"/>
      <c r="R1329" s="84"/>
      <c r="S1329" s="84"/>
      <c r="T1329" s="84"/>
      <c r="U1329" s="84"/>
      <c r="V1329" s="84"/>
      <c r="W1329" s="84"/>
      <c r="Y1329" s="84"/>
      <c r="Z1329" s="84"/>
      <c r="AA1329" s="84"/>
      <c r="AB1329" s="84"/>
      <c r="AC1329" s="84"/>
      <c r="AD1329" s="84"/>
      <c r="AE1329" s="84"/>
      <c r="AF1329" s="84"/>
      <c r="AG1329" s="84"/>
      <c r="AH1329" s="84"/>
      <c r="AI1329" s="84"/>
      <c r="AL1329" s="84"/>
      <c r="AM1329" s="84"/>
      <c r="AN1329" s="84"/>
      <c r="AO1329" s="84"/>
      <c r="AP1329" s="84"/>
      <c r="AQ1329" s="84"/>
      <c r="AR1329" s="84"/>
      <c r="AS1329" s="84"/>
      <c r="AT1329" s="84"/>
      <c r="AU1329" s="84"/>
      <c r="AV1329" s="84"/>
      <c r="AY1329" s="84"/>
      <c r="AZ1329" s="84"/>
      <c r="BA1329" s="84"/>
      <c r="BB1329" s="84"/>
      <c r="BC1329" s="84"/>
      <c r="BD1329" s="84"/>
      <c r="BE1329" s="84"/>
      <c r="BF1329" s="942"/>
      <c r="BG1329" s="942"/>
      <c r="BH1329" s="942"/>
      <c r="BI1329" s="84"/>
      <c r="BL1329" s="84"/>
      <c r="BM1329" s="84"/>
      <c r="BN1329" s="84"/>
      <c r="BO1329" s="84"/>
      <c r="BP1329" s="84"/>
      <c r="BQ1329" s="84"/>
      <c r="BR1329" s="84"/>
      <c r="BS1329" s="942"/>
      <c r="BT1329" s="942"/>
      <c r="BU1329" s="942"/>
      <c r="BV1329" s="84"/>
    </row>
    <row r="1330" spans="14:74" ht="14.25">
      <c r="N1330" s="84"/>
      <c r="O1330" s="84"/>
      <c r="P1330" s="84"/>
      <c r="Q1330" s="84"/>
      <c r="R1330" s="84"/>
      <c r="S1330" s="84"/>
      <c r="T1330" s="84"/>
      <c r="U1330" s="84"/>
      <c r="V1330" s="84"/>
      <c r="W1330" s="84"/>
      <c r="Y1330" s="84"/>
      <c r="Z1330" s="84"/>
      <c r="AA1330" s="84"/>
      <c r="AB1330" s="84"/>
      <c r="AC1330" s="84"/>
      <c r="AD1330" s="84"/>
      <c r="AE1330" s="84"/>
      <c r="AF1330" s="84"/>
      <c r="AG1330" s="84"/>
      <c r="AH1330" s="84"/>
      <c r="AI1330" s="84"/>
      <c r="AL1330" s="84"/>
      <c r="AM1330" s="84"/>
      <c r="AN1330" s="84"/>
      <c r="AO1330" s="84"/>
      <c r="AP1330" s="84"/>
      <c r="AQ1330" s="84"/>
      <c r="AR1330" s="84"/>
      <c r="AS1330" s="84"/>
      <c r="AT1330" s="84"/>
      <c r="AU1330" s="84"/>
      <c r="AV1330" s="84"/>
      <c r="AY1330" s="84"/>
      <c r="AZ1330" s="84"/>
      <c r="BA1330" s="84"/>
      <c r="BB1330" s="84"/>
      <c r="BC1330" s="84"/>
      <c r="BD1330" s="84"/>
      <c r="BE1330" s="84"/>
      <c r="BF1330" s="942"/>
      <c r="BG1330" s="942"/>
      <c r="BH1330" s="942"/>
      <c r="BI1330" s="84"/>
      <c r="BL1330" s="84"/>
      <c r="BM1330" s="84"/>
      <c r="BN1330" s="84"/>
      <c r="BO1330" s="84"/>
      <c r="BP1330" s="84"/>
      <c r="BQ1330" s="84"/>
      <c r="BR1330" s="84"/>
      <c r="BS1330" s="942"/>
      <c r="BT1330" s="942"/>
      <c r="BU1330" s="942"/>
      <c r="BV1330" s="84"/>
    </row>
    <row r="1331" spans="14:74" ht="14.25">
      <c r="N1331" s="84"/>
      <c r="O1331" s="84"/>
      <c r="P1331" s="84"/>
      <c r="Q1331" s="84"/>
      <c r="R1331" s="84"/>
      <c r="S1331" s="84"/>
      <c r="T1331" s="84"/>
      <c r="U1331" s="84"/>
      <c r="V1331" s="84"/>
      <c r="W1331" s="84"/>
      <c r="Y1331" s="84"/>
      <c r="Z1331" s="84"/>
      <c r="AA1331" s="84"/>
      <c r="AB1331" s="84"/>
      <c r="AC1331" s="84"/>
      <c r="AD1331" s="84"/>
      <c r="AE1331" s="84"/>
      <c r="AF1331" s="84"/>
      <c r="AG1331" s="84"/>
      <c r="AH1331" s="84"/>
      <c r="AI1331" s="84"/>
      <c r="AL1331" s="84"/>
      <c r="AM1331" s="84"/>
      <c r="AN1331" s="84"/>
      <c r="AO1331" s="84"/>
      <c r="AP1331" s="84"/>
      <c r="AQ1331" s="84"/>
      <c r="AR1331" s="84"/>
      <c r="AS1331" s="84"/>
      <c r="AT1331" s="84"/>
      <c r="AU1331" s="84"/>
      <c r="AV1331" s="84"/>
      <c r="AY1331" s="84"/>
      <c r="AZ1331" s="84"/>
      <c r="BA1331" s="84"/>
      <c r="BB1331" s="84"/>
      <c r="BC1331" s="84"/>
      <c r="BD1331" s="84"/>
      <c r="BE1331" s="84"/>
      <c r="BF1331" s="942"/>
      <c r="BG1331" s="942"/>
      <c r="BH1331" s="942"/>
      <c r="BI1331" s="84"/>
      <c r="BL1331" s="84"/>
      <c r="BM1331" s="84"/>
      <c r="BN1331" s="84"/>
      <c r="BO1331" s="84"/>
      <c r="BP1331" s="84"/>
      <c r="BQ1331" s="84"/>
      <c r="BR1331" s="84"/>
      <c r="BS1331" s="942"/>
      <c r="BT1331" s="942"/>
      <c r="BU1331" s="942"/>
      <c r="BV1331" s="84"/>
    </row>
    <row r="1332" spans="14:74" ht="14.25">
      <c r="N1332" s="84"/>
      <c r="O1332" s="84"/>
      <c r="P1332" s="84"/>
      <c r="Q1332" s="84"/>
      <c r="R1332" s="84"/>
      <c r="S1332" s="84"/>
      <c r="T1332" s="84"/>
      <c r="U1332" s="84"/>
      <c r="V1332" s="84"/>
      <c r="W1332" s="84"/>
      <c r="Y1332" s="84"/>
      <c r="Z1332" s="84"/>
      <c r="AA1332" s="84"/>
      <c r="AB1332" s="84"/>
      <c r="AC1332" s="84"/>
      <c r="AD1332" s="84"/>
      <c r="AE1332" s="84"/>
      <c r="AF1332" s="84"/>
      <c r="AG1332" s="84"/>
      <c r="AH1332" s="84"/>
      <c r="AI1332" s="84"/>
      <c r="AL1332" s="84"/>
      <c r="AM1332" s="84"/>
      <c r="AN1332" s="84"/>
      <c r="AO1332" s="84"/>
      <c r="AP1332" s="84"/>
      <c r="AQ1332" s="84"/>
      <c r="AR1332" s="84"/>
      <c r="AS1332" s="84"/>
      <c r="AT1332" s="84"/>
      <c r="AU1332" s="84"/>
      <c r="AV1332" s="84"/>
      <c r="AY1332" s="84"/>
      <c r="AZ1332" s="84"/>
      <c r="BA1332" s="84"/>
      <c r="BB1332" s="84"/>
      <c r="BC1332" s="84"/>
      <c r="BD1332" s="84"/>
      <c r="BE1332" s="84"/>
      <c r="BF1332" s="942"/>
      <c r="BG1332" s="942"/>
      <c r="BH1332" s="942"/>
      <c r="BI1332" s="84"/>
      <c r="BL1332" s="84"/>
      <c r="BM1332" s="84"/>
      <c r="BN1332" s="84"/>
      <c r="BO1332" s="84"/>
      <c r="BP1332" s="84"/>
      <c r="BQ1332" s="84"/>
      <c r="BR1332" s="84"/>
      <c r="BS1332" s="942"/>
      <c r="BT1332" s="942"/>
      <c r="BU1332" s="942"/>
      <c r="BV1332" s="84"/>
    </row>
    <row r="1333" spans="14:74" ht="14.25">
      <c r="N1333" s="84"/>
      <c r="O1333" s="84"/>
      <c r="P1333" s="84"/>
      <c r="Q1333" s="84"/>
      <c r="R1333" s="84"/>
      <c r="S1333" s="84"/>
      <c r="T1333" s="84"/>
      <c r="U1333" s="84"/>
      <c r="V1333" s="84"/>
      <c r="W1333" s="84"/>
      <c r="Y1333" s="84"/>
      <c r="Z1333" s="84"/>
      <c r="AA1333" s="84"/>
      <c r="AB1333" s="84"/>
      <c r="AC1333" s="84"/>
      <c r="AD1333" s="84"/>
      <c r="AE1333" s="84"/>
      <c r="AF1333" s="84"/>
      <c r="AG1333" s="84"/>
      <c r="AH1333" s="84"/>
      <c r="AI1333" s="84"/>
      <c r="AL1333" s="84"/>
      <c r="AM1333" s="84"/>
      <c r="AN1333" s="84"/>
      <c r="AO1333" s="84"/>
      <c r="AP1333" s="84"/>
      <c r="AQ1333" s="84"/>
      <c r="AR1333" s="84"/>
      <c r="AS1333" s="84"/>
      <c r="AT1333" s="84"/>
      <c r="AU1333" s="84"/>
      <c r="AV1333" s="84"/>
      <c r="AY1333" s="84"/>
      <c r="AZ1333" s="84"/>
      <c r="BA1333" s="84"/>
      <c r="BB1333" s="84"/>
      <c r="BC1333" s="84"/>
      <c r="BD1333" s="84"/>
      <c r="BE1333" s="84"/>
      <c r="BF1333" s="942"/>
      <c r="BG1333" s="942"/>
      <c r="BH1333" s="942"/>
      <c r="BI1333" s="84"/>
      <c r="BL1333" s="84"/>
      <c r="BM1333" s="84"/>
      <c r="BN1333" s="84"/>
      <c r="BO1333" s="84"/>
      <c r="BP1333" s="84"/>
      <c r="BQ1333" s="84"/>
      <c r="BR1333" s="84"/>
      <c r="BS1333" s="942"/>
      <c r="BT1333" s="942"/>
      <c r="BU1333" s="942"/>
      <c r="BV1333" s="84"/>
    </row>
    <row r="1334" spans="14:74" ht="14.25">
      <c r="N1334" s="84"/>
      <c r="O1334" s="84"/>
      <c r="P1334" s="84"/>
      <c r="Q1334" s="84"/>
      <c r="R1334" s="84"/>
      <c r="S1334" s="84"/>
      <c r="T1334" s="84"/>
      <c r="U1334" s="84"/>
      <c r="V1334" s="84"/>
      <c r="W1334" s="84"/>
      <c r="Y1334" s="84"/>
      <c r="Z1334" s="84"/>
      <c r="AA1334" s="84"/>
      <c r="AB1334" s="84"/>
      <c r="AC1334" s="84"/>
      <c r="AD1334" s="84"/>
      <c r="AE1334" s="84"/>
      <c r="AF1334" s="84"/>
      <c r="AG1334" s="84"/>
      <c r="AH1334" s="84"/>
      <c r="AI1334" s="84"/>
      <c r="AL1334" s="84"/>
      <c r="AM1334" s="84"/>
      <c r="AN1334" s="84"/>
      <c r="AO1334" s="84"/>
      <c r="AP1334" s="84"/>
      <c r="AQ1334" s="84"/>
      <c r="AR1334" s="84"/>
      <c r="AS1334" s="84"/>
      <c r="AT1334" s="84"/>
      <c r="AU1334" s="84"/>
      <c r="AV1334" s="84"/>
      <c r="AY1334" s="84"/>
      <c r="AZ1334" s="84"/>
      <c r="BA1334" s="84"/>
      <c r="BB1334" s="84"/>
      <c r="BC1334" s="84"/>
      <c r="BD1334" s="84"/>
      <c r="BE1334" s="84"/>
      <c r="BF1334" s="942"/>
      <c r="BG1334" s="942"/>
      <c r="BH1334" s="942"/>
      <c r="BI1334" s="84"/>
      <c r="BL1334" s="84"/>
      <c r="BM1334" s="84"/>
      <c r="BN1334" s="84"/>
      <c r="BO1334" s="84"/>
      <c r="BP1334" s="84"/>
      <c r="BQ1334" s="84"/>
      <c r="BR1334" s="84"/>
      <c r="BS1334" s="942"/>
      <c r="BT1334" s="942"/>
      <c r="BU1334" s="942"/>
      <c r="BV1334" s="84"/>
    </row>
    <row r="1335" spans="14:74" ht="14.25">
      <c r="N1335" s="84"/>
      <c r="O1335" s="84"/>
      <c r="P1335" s="84"/>
      <c r="Q1335" s="84"/>
      <c r="R1335" s="84"/>
      <c r="S1335" s="84"/>
      <c r="T1335" s="84"/>
      <c r="U1335" s="84"/>
      <c r="V1335" s="84"/>
      <c r="W1335" s="84"/>
      <c r="Y1335" s="84"/>
      <c r="Z1335" s="84"/>
      <c r="AA1335" s="84"/>
      <c r="AB1335" s="84"/>
      <c r="AC1335" s="84"/>
      <c r="AD1335" s="84"/>
      <c r="AE1335" s="84"/>
      <c r="AF1335" s="84"/>
      <c r="AG1335" s="84"/>
      <c r="AH1335" s="84"/>
      <c r="AI1335" s="84"/>
      <c r="AL1335" s="84"/>
      <c r="AM1335" s="84"/>
      <c r="AN1335" s="84"/>
      <c r="AO1335" s="84"/>
      <c r="AP1335" s="84"/>
      <c r="AQ1335" s="84"/>
      <c r="AR1335" s="84"/>
      <c r="AS1335" s="84"/>
      <c r="AT1335" s="84"/>
      <c r="AU1335" s="84"/>
      <c r="AV1335" s="84"/>
      <c r="AY1335" s="84"/>
      <c r="AZ1335" s="84"/>
      <c r="BA1335" s="84"/>
      <c r="BB1335" s="84"/>
      <c r="BC1335" s="84"/>
      <c r="BD1335" s="84"/>
      <c r="BE1335" s="84"/>
      <c r="BF1335" s="942"/>
      <c r="BG1335" s="942"/>
      <c r="BH1335" s="942"/>
      <c r="BI1335" s="84"/>
      <c r="BL1335" s="84"/>
      <c r="BM1335" s="84"/>
      <c r="BN1335" s="84"/>
      <c r="BO1335" s="84"/>
      <c r="BP1335" s="84"/>
      <c r="BQ1335" s="84"/>
      <c r="BR1335" s="84"/>
      <c r="BS1335" s="942"/>
      <c r="BT1335" s="942"/>
      <c r="BU1335" s="942"/>
      <c r="BV1335" s="84"/>
    </row>
    <row r="1336" spans="14:74" ht="14.25">
      <c r="N1336" s="84"/>
      <c r="O1336" s="84"/>
      <c r="P1336" s="84"/>
      <c r="Q1336" s="84"/>
      <c r="R1336" s="84"/>
      <c r="S1336" s="84"/>
      <c r="T1336" s="84"/>
      <c r="U1336" s="84"/>
      <c r="V1336" s="84"/>
      <c r="W1336" s="84"/>
      <c r="Y1336" s="84"/>
      <c r="Z1336" s="84"/>
      <c r="AA1336" s="84"/>
      <c r="AB1336" s="84"/>
      <c r="AC1336" s="84"/>
      <c r="AD1336" s="84"/>
      <c r="AE1336" s="84"/>
      <c r="AF1336" s="84"/>
      <c r="AG1336" s="84"/>
      <c r="AH1336" s="84"/>
      <c r="AI1336" s="84"/>
      <c r="AL1336" s="84"/>
      <c r="AM1336" s="84"/>
      <c r="AN1336" s="84"/>
      <c r="AO1336" s="84"/>
      <c r="AP1336" s="84"/>
      <c r="AQ1336" s="84"/>
      <c r="AR1336" s="84"/>
      <c r="AS1336" s="84"/>
      <c r="AT1336" s="84"/>
      <c r="AU1336" s="84"/>
      <c r="AV1336" s="84"/>
      <c r="AY1336" s="84"/>
      <c r="AZ1336" s="84"/>
      <c r="BA1336" s="84"/>
      <c r="BB1336" s="84"/>
      <c r="BC1336" s="84"/>
      <c r="BD1336" s="84"/>
      <c r="BE1336" s="84"/>
      <c r="BF1336" s="942"/>
      <c r="BG1336" s="942"/>
      <c r="BH1336" s="942"/>
      <c r="BI1336" s="84"/>
      <c r="BL1336" s="84"/>
      <c r="BM1336" s="84"/>
      <c r="BN1336" s="84"/>
      <c r="BO1336" s="84"/>
      <c r="BP1336" s="84"/>
      <c r="BQ1336" s="84"/>
      <c r="BR1336" s="84"/>
      <c r="BS1336" s="942"/>
      <c r="BT1336" s="942"/>
      <c r="BU1336" s="942"/>
      <c r="BV1336" s="84"/>
    </row>
    <row r="1337" spans="14:74" ht="14.25">
      <c r="N1337" s="84"/>
      <c r="O1337" s="84"/>
      <c r="P1337" s="84"/>
      <c r="Q1337" s="84"/>
      <c r="R1337" s="84"/>
      <c r="S1337" s="84"/>
      <c r="T1337" s="84"/>
      <c r="U1337" s="84"/>
      <c r="V1337" s="84"/>
      <c r="W1337" s="84"/>
      <c r="Y1337" s="84"/>
      <c r="Z1337" s="84"/>
      <c r="AA1337" s="84"/>
      <c r="AB1337" s="84"/>
      <c r="AC1337" s="84"/>
      <c r="AD1337" s="84"/>
      <c r="AE1337" s="84"/>
      <c r="AF1337" s="84"/>
      <c r="AG1337" s="84"/>
      <c r="AH1337" s="84"/>
      <c r="AI1337" s="84"/>
      <c r="AL1337" s="84"/>
      <c r="AM1337" s="84"/>
      <c r="AN1337" s="84"/>
      <c r="AO1337" s="84"/>
      <c r="AP1337" s="84"/>
      <c r="AQ1337" s="84"/>
      <c r="AR1337" s="84"/>
      <c r="AS1337" s="84"/>
      <c r="AT1337" s="84"/>
      <c r="AU1337" s="84"/>
      <c r="AV1337" s="84"/>
      <c r="AY1337" s="84"/>
      <c r="AZ1337" s="84"/>
      <c r="BA1337" s="84"/>
      <c r="BB1337" s="84"/>
      <c r="BC1337" s="84"/>
      <c r="BD1337" s="84"/>
      <c r="BE1337" s="84"/>
      <c r="BF1337" s="942"/>
      <c r="BG1337" s="942"/>
      <c r="BH1337" s="942"/>
      <c r="BI1337" s="84"/>
      <c r="BL1337" s="84"/>
      <c r="BM1337" s="84"/>
      <c r="BN1337" s="84"/>
      <c r="BO1337" s="84"/>
      <c r="BP1337" s="84"/>
      <c r="BQ1337" s="84"/>
      <c r="BR1337" s="84"/>
      <c r="BS1337" s="942"/>
      <c r="BT1337" s="942"/>
      <c r="BU1337" s="942"/>
      <c r="BV1337" s="84"/>
    </row>
    <row r="1338" spans="14:74" ht="14.25">
      <c r="N1338" s="84"/>
      <c r="O1338" s="84"/>
      <c r="P1338" s="84"/>
      <c r="Q1338" s="84"/>
      <c r="R1338" s="84"/>
      <c r="S1338" s="84"/>
      <c r="T1338" s="84"/>
      <c r="U1338" s="84"/>
      <c r="V1338" s="84"/>
      <c r="W1338" s="84"/>
      <c r="Y1338" s="84"/>
      <c r="Z1338" s="84"/>
      <c r="AA1338" s="84"/>
      <c r="AB1338" s="84"/>
      <c r="AC1338" s="84"/>
      <c r="AD1338" s="84"/>
      <c r="AE1338" s="84"/>
      <c r="AF1338" s="84"/>
      <c r="AG1338" s="84"/>
      <c r="AH1338" s="84"/>
      <c r="AI1338" s="84"/>
      <c r="AL1338" s="84"/>
      <c r="AM1338" s="84"/>
      <c r="AN1338" s="84"/>
      <c r="AO1338" s="84"/>
      <c r="AP1338" s="84"/>
      <c r="AQ1338" s="84"/>
      <c r="AR1338" s="84"/>
      <c r="AS1338" s="84"/>
      <c r="AT1338" s="84"/>
      <c r="AU1338" s="84"/>
      <c r="AV1338" s="84"/>
      <c r="AY1338" s="84"/>
      <c r="AZ1338" s="84"/>
      <c r="BA1338" s="84"/>
      <c r="BB1338" s="84"/>
      <c r="BC1338" s="84"/>
      <c r="BD1338" s="84"/>
      <c r="BE1338" s="84"/>
      <c r="BF1338" s="942"/>
      <c r="BG1338" s="942"/>
      <c r="BH1338" s="942"/>
      <c r="BI1338" s="84"/>
      <c r="BL1338" s="84"/>
      <c r="BM1338" s="84"/>
      <c r="BN1338" s="84"/>
      <c r="BO1338" s="84"/>
      <c r="BP1338" s="84"/>
      <c r="BQ1338" s="84"/>
      <c r="BR1338" s="84"/>
      <c r="BS1338" s="942"/>
      <c r="BT1338" s="942"/>
      <c r="BU1338" s="942"/>
      <c r="BV1338" s="84"/>
    </row>
    <row r="1339" spans="14:74" ht="14.25">
      <c r="N1339" s="84"/>
      <c r="O1339" s="84"/>
      <c r="P1339" s="84"/>
      <c r="Q1339" s="84"/>
      <c r="R1339" s="84"/>
      <c r="S1339" s="84"/>
      <c r="T1339" s="84"/>
      <c r="U1339" s="84"/>
      <c r="V1339" s="84"/>
      <c r="W1339" s="84"/>
      <c r="Y1339" s="84"/>
      <c r="Z1339" s="84"/>
      <c r="AA1339" s="84"/>
      <c r="AB1339" s="84"/>
      <c r="AC1339" s="84"/>
      <c r="AD1339" s="84"/>
      <c r="AE1339" s="84"/>
      <c r="AF1339" s="84"/>
      <c r="AG1339" s="84"/>
      <c r="AH1339" s="84"/>
      <c r="AI1339" s="84"/>
      <c r="AL1339" s="84"/>
      <c r="AM1339" s="84"/>
      <c r="AN1339" s="84"/>
      <c r="AO1339" s="84"/>
      <c r="AP1339" s="84"/>
      <c r="AQ1339" s="84"/>
      <c r="AR1339" s="84"/>
      <c r="AS1339" s="84"/>
      <c r="AT1339" s="84"/>
      <c r="AU1339" s="84"/>
      <c r="AV1339" s="84"/>
      <c r="AY1339" s="84"/>
      <c r="AZ1339" s="84"/>
      <c r="BA1339" s="84"/>
      <c r="BB1339" s="84"/>
      <c r="BC1339" s="84"/>
      <c r="BD1339" s="84"/>
      <c r="BE1339" s="84"/>
      <c r="BF1339" s="942"/>
      <c r="BG1339" s="942"/>
      <c r="BH1339" s="942"/>
      <c r="BI1339" s="84"/>
      <c r="BL1339" s="84"/>
      <c r="BM1339" s="84"/>
      <c r="BN1339" s="84"/>
      <c r="BO1339" s="84"/>
      <c r="BP1339" s="84"/>
      <c r="BQ1339" s="84"/>
      <c r="BR1339" s="84"/>
      <c r="BS1339" s="942"/>
      <c r="BT1339" s="942"/>
      <c r="BU1339" s="942"/>
      <c r="BV1339" s="84"/>
    </row>
    <row r="1340" spans="14:74" ht="14.25">
      <c r="N1340" s="84"/>
      <c r="O1340" s="84"/>
      <c r="P1340" s="84"/>
      <c r="Q1340" s="84"/>
      <c r="R1340" s="84"/>
      <c r="S1340" s="84"/>
      <c r="T1340" s="84"/>
      <c r="U1340" s="84"/>
      <c r="V1340" s="84"/>
      <c r="W1340" s="84"/>
      <c r="Y1340" s="84"/>
      <c r="Z1340" s="84"/>
      <c r="AA1340" s="84"/>
      <c r="AB1340" s="84"/>
      <c r="AC1340" s="84"/>
      <c r="AD1340" s="84"/>
      <c r="AE1340" s="84"/>
      <c r="AF1340" s="84"/>
      <c r="AG1340" s="84"/>
      <c r="AH1340" s="84"/>
      <c r="AI1340" s="84"/>
      <c r="AL1340" s="84"/>
      <c r="AM1340" s="84"/>
      <c r="AN1340" s="84"/>
      <c r="AO1340" s="84"/>
      <c r="AP1340" s="84"/>
      <c r="AQ1340" s="84"/>
      <c r="AR1340" s="84"/>
      <c r="AS1340" s="84"/>
      <c r="AT1340" s="84"/>
      <c r="AU1340" s="84"/>
      <c r="AV1340" s="84"/>
      <c r="AY1340" s="84"/>
      <c r="AZ1340" s="84"/>
      <c r="BA1340" s="84"/>
      <c r="BB1340" s="84"/>
      <c r="BC1340" s="84"/>
      <c r="BD1340" s="84"/>
      <c r="BE1340" s="84"/>
      <c r="BF1340" s="942"/>
      <c r="BG1340" s="942"/>
      <c r="BH1340" s="942"/>
      <c r="BI1340" s="84"/>
      <c r="BL1340" s="84"/>
      <c r="BM1340" s="84"/>
      <c r="BN1340" s="84"/>
      <c r="BO1340" s="84"/>
      <c r="BP1340" s="84"/>
      <c r="BQ1340" s="84"/>
      <c r="BR1340" s="84"/>
      <c r="BS1340" s="942"/>
      <c r="BT1340" s="942"/>
      <c r="BU1340" s="942"/>
      <c r="BV1340" s="84"/>
    </row>
    <row r="1341" spans="14:74" ht="14.25">
      <c r="N1341" s="84"/>
      <c r="O1341" s="84"/>
      <c r="P1341" s="84"/>
      <c r="Q1341" s="84"/>
      <c r="R1341" s="84"/>
      <c r="S1341" s="84"/>
      <c r="T1341" s="84"/>
      <c r="U1341" s="84"/>
      <c r="V1341" s="84"/>
      <c r="W1341" s="84"/>
      <c r="Y1341" s="84"/>
      <c r="Z1341" s="84"/>
      <c r="AA1341" s="84"/>
      <c r="AB1341" s="84"/>
      <c r="AC1341" s="84"/>
      <c r="AD1341" s="84"/>
      <c r="AE1341" s="84"/>
      <c r="AF1341" s="84"/>
      <c r="AG1341" s="84"/>
      <c r="AH1341" s="84"/>
      <c r="AI1341" s="84"/>
      <c r="AL1341" s="84"/>
      <c r="AM1341" s="84"/>
      <c r="AN1341" s="84"/>
      <c r="AO1341" s="84"/>
      <c r="AP1341" s="84"/>
      <c r="AQ1341" s="84"/>
      <c r="AR1341" s="84"/>
      <c r="AS1341" s="84"/>
      <c r="AT1341" s="84"/>
      <c r="AU1341" s="84"/>
      <c r="AV1341" s="84"/>
      <c r="AY1341" s="84"/>
      <c r="AZ1341" s="84"/>
      <c r="BA1341" s="84"/>
      <c r="BB1341" s="84"/>
      <c r="BC1341" s="84"/>
      <c r="BD1341" s="84"/>
      <c r="BE1341" s="84"/>
      <c r="BF1341" s="942"/>
      <c r="BG1341" s="942"/>
      <c r="BH1341" s="942"/>
      <c r="BI1341" s="84"/>
      <c r="BL1341" s="84"/>
      <c r="BM1341" s="84"/>
      <c r="BN1341" s="84"/>
      <c r="BO1341" s="84"/>
      <c r="BP1341" s="84"/>
      <c r="BQ1341" s="84"/>
      <c r="BR1341" s="84"/>
      <c r="BS1341" s="942"/>
      <c r="BT1341" s="942"/>
      <c r="BU1341" s="942"/>
      <c r="BV1341" s="84"/>
    </row>
    <row r="1342" spans="14:74" ht="14.25">
      <c r="N1342" s="84"/>
      <c r="O1342" s="84"/>
      <c r="P1342" s="84"/>
      <c r="Q1342" s="84"/>
      <c r="R1342" s="84"/>
      <c r="S1342" s="84"/>
      <c r="T1342" s="84"/>
      <c r="U1342" s="84"/>
      <c r="V1342" s="84"/>
      <c r="W1342" s="84"/>
      <c r="Y1342" s="84"/>
      <c r="Z1342" s="84"/>
      <c r="AA1342" s="84"/>
      <c r="AB1342" s="84"/>
      <c r="AC1342" s="84"/>
      <c r="AD1342" s="84"/>
      <c r="AE1342" s="84"/>
      <c r="AF1342" s="84"/>
      <c r="AG1342" s="84"/>
      <c r="AH1342" s="84"/>
      <c r="AI1342" s="84"/>
      <c r="AL1342" s="84"/>
      <c r="AM1342" s="84"/>
      <c r="AN1342" s="84"/>
      <c r="AO1342" s="84"/>
      <c r="AP1342" s="84"/>
      <c r="AQ1342" s="84"/>
      <c r="AR1342" s="84"/>
      <c r="AS1342" s="84"/>
      <c r="AT1342" s="84"/>
      <c r="AU1342" s="84"/>
      <c r="AV1342" s="84"/>
      <c r="AY1342" s="84"/>
      <c r="AZ1342" s="84"/>
      <c r="BA1342" s="84"/>
      <c r="BB1342" s="84"/>
      <c r="BC1342" s="84"/>
      <c r="BD1342" s="84"/>
      <c r="BE1342" s="84"/>
      <c r="BF1342" s="942"/>
      <c r="BG1342" s="942"/>
      <c r="BH1342" s="942"/>
      <c r="BI1342" s="84"/>
      <c r="BL1342" s="84"/>
      <c r="BM1342" s="84"/>
      <c r="BN1342" s="84"/>
      <c r="BO1342" s="84"/>
      <c r="BP1342" s="84"/>
      <c r="BQ1342" s="84"/>
      <c r="BR1342" s="84"/>
      <c r="BS1342" s="942"/>
      <c r="BT1342" s="942"/>
      <c r="BU1342" s="942"/>
      <c r="BV1342" s="84"/>
    </row>
    <row r="1343" spans="14:74" ht="14.25">
      <c r="N1343" s="84"/>
      <c r="O1343" s="84"/>
      <c r="P1343" s="84"/>
      <c r="Q1343" s="84"/>
      <c r="R1343" s="84"/>
      <c r="S1343" s="84"/>
      <c r="T1343" s="84"/>
      <c r="U1343" s="84"/>
      <c r="V1343" s="84"/>
      <c r="W1343" s="84"/>
      <c r="Y1343" s="84"/>
      <c r="Z1343" s="84"/>
      <c r="AA1343" s="84"/>
      <c r="AB1343" s="84"/>
      <c r="AC1343" s="84"/>
      <c r="AD1343" s="84"/>
      <c r="AE1343" s="84"/>
      <c r="AF1343" s="84"/>
      <c r="AG1343" s="84"/>
      <c r="AH1343" s="84"/>
      <c r="AI1343" s="84"/>
      <c r="AL1343" s="84"/>
      <c r="AM1343" s="84"/>
      <c r="AN1343" s="84"/>
      <c r="AO1343" s="84"/>
      <c r="AP1343" s="84"/>
      <c r="AQ1343" s="84"/>
      <c r="AR1343" s="84"/>
      <c r="AS1343" s="84"/>
      <c r="AT1343" s="84"/>
      <c r="AU1343" s="84"/>
      <c r="AV1343" s="84"/>
      <c r="AY1343" s="84"/>
      <c r="AZ1343" s="84"/>
      <c r="BA1343" s="84"/>
      <c r="BB1343" s="84"/>
      <c r="BC1343" s="84"/>
      <c r="BD1343" s="84"/>
      <c r="BE1343" s="84"/>
      <c r="BF1343" s="942"/>
      <c r="BG1343" s="942"/>
      <c r="BH1343" s="942"/>
      <c r="BI1343" s="84"/>
      <c r="BL1343" s="84"/>
      <c r="BM1343" s="84"/>
      <c r="BN1343" s="84"/>
      <c r="BO1343" s="84"/>
      <c r="BP1343" s="84"/>
      <c r="BQ1343" s="84"/>
      <c r="BR1343" s="84"/>
      <c r="BS1343" s="942"/>
      <c r="BT1343" s="942"/>
      <c r="BU1343" s="942"/>
      <c r="BV1343" s="84"/>
    </row>
    <row r="1344" spans="14:74" ht="14.25">
      <c r="N1344" s="84"/>
      <c r="O1344" s="84"/>
      <c r="P1344" s="84"/>
      <c r="Q1344" s="84"/>
      <c r="R1344" s="84"/>
      <c r="S1344" s="84"/>
      <c r="T1344" s="84"/>
      <c r="U1344" s="84"/>
      <c r="V1344" s="84"/>
      <c r="W1344" s="84"/>
      <c r="Y1344" s="84"/>
      <c r="Z1344" s="84"/>
      <c r="AA1344" s="84"/>
      <c r="AB1344" s="84"/>
      <c r="AC1344" s="84"/>
      <c r="AD1344" s="84"/>
      <c r="AE1344" s="84"/>
      <c r="AF1344" s="84"/>
      <c r="AG1344" s="84"/>
      <c r="AH1344" s="84"/>
      <c r="AI1344" s="84"/>
      <c r="AL1344" s="84"/>
      <c r="AM1344" s="84"/>
      <c r="AN1344" s="84"/>
      <c r="AO1344" s="84"/>
      <c r="AP1344" s="84"/>
      <c r="AQ1344" s="84"/>
      <c r="AR1344" s="84"/>
      <c r="AS1344" s="84"/>
      <c r="AT1344" s="84"/>
      <c r="AU1344" s="84"/>
      <c r="AV1344" s="84"/>
      <c r="AY1344" s="84"/>
      <c r="AZ1344" s="84"/>
      <c r="BA1344" s="84"/>
      <c r="BB1344" s="84"/>
      <c r="BC1344" s="84"/>
      <c r="BD1344" s="84"/>
      <c r="BE1344" s="84"/>
      <c r="BF1344" s="942"/>
      <c r="BG1344" s="942"/>
      <c r="BH1344" s="942"/>
      <c r="BI1344" s="84"/>
      <c r="BL1344" s="84"/>
      <c r="BM1344" s="84"/>
      <c r="BN1344" s="84"/>
      <c r="BO1344" s="84"/>
      <c r="BP1344" s="84"/>
      <c r="BQ1344" s="84"/>
      <c r="BR1344" s="84"/>
      <c r="BS1344" s="942"/>
      <c r="BT1344" s="942"/>
      <c r="BU1344" s="942"/>
      <c r="BV1344" s="84"/>
    </row>
    <row r="1345" spans="14:74" ht="14.25">
      <c r="N1345" s="84"/>
      <c r="O1345" s="84"/>
      <c r="P1345" s="84"/>
      <c r="Q1345" s="84"/>
      <c r="R1345" s="84"/>
      <c r="S1345" s="84"/>
      <c r="T1345" s="84"/>
      <c r="U1345" s="84"/>
      <c r="V1345" s="84"/>
      <c r="W1345" s="84"/>
      <c r="Y1345" s="84"/>
      <c r="Z1345" s="84"/>
      <c r="AA1345" s="84"/>
      <c r="AB1345" s="84"/>
      <c r="AC1345" s="84"/>
      <c r="AD1345" s="84"/>
      <c r="AE1345" s="84"/>
      <c r="AF1345" s="84"/>
      <c r="AG1345" s="84"/>
      <c r="AH1345" s="84"/>
      <c r="AI1345" s="84"/>
      <c r="AL1345" s="84"/>
      <c r="AM1345" s="84"/>
      <c r="AN1345" s="84"/>
      <c r="AO1345" s="84"/>
      <c r="AP1345" s="84"/>
      <c r="AQ1345" s="84"/>
      <c r="AR1345" s="84"/>
      <c r="AS1345" s="84"/>
      <c r="AT1345" s="84"/>
      <c r="AU1345" s="84"/>
      <c r="AV1345" s="84"/>
      <c r="AY1345" s="84"/>
      <c r="AZ1345" s="84"/>
      <c r="BA1345" s="84"/>
      <c r="BB1345" s="84"/>
      <c r="BC1345" s="84"/>
      <c r="BD1345" s="84"/>
      <c r="BE1345" s="84"/>
      <c r="BF1345" s="942"/>
      <c r="BG1345" s="942"/>
      <c r="BH1345" s="942"/>
      <c r="BI1345" s="84"/>
      <c r="BL1345" s="84"/>
      <c r="BM1345" s="84"/>
      <c r="BN1345" s="84"/>
      <c r="BO1345" s="84"/>
      <c r="BP1345" s="84"/>
      <c r="BQ1345" s="84"/>
      <c r="BR1345" s="84"/>
      <c r="BS1345" s="942"/>
      <c r="BT1345" s="942"/>
      <c r="BU1345" s="942"/>
      <c r="BV1345" s="84"/>
    </row>
    <row r="1346" spans="14:74" ht="14.25">
      <c r="N1346" s="84"/>
      <c r="O1346" s="84"/>
      <c r="P1346" s="84"/>
      <c r="Q1346" s="84"/>
      <c r="R1346" s="84"/>
      <c r="S1346" s="84"/>
      <c r="T1346" s="84"/>
      <c r="U1346" s="84"/>
      <c r="V1346" s="84"/>
      <c r="W1346" s="84"/>
      <c r="Y1346" s="84"/>
      <c r="Z1346" s="84"/>
      <c r="AA1346" s="84"/>
      <c r="AB1346" s="84"/>
      <c r="AC1346" s="84"/>
      <c r="AD1346" s="84"/>
      <c r="AE1346" s="84"/>
      <c r="AF1346" s="84"/>
      <c r="AG1346" s="84"/>
      <c r="AH1346" s="84"/>
      <c r="AI1346" s="84"/>
      <c r="AL1346" s="84"/>
      <c r="AM1346" s="84"/>
      <c r="AN1346" s="84"/>
      <c r="AO1346" s="84"/>
      <c r="AP1346" s="84"/>
      <c r="AQ1346" s="84"/>
      <c r="AR1346" s="84"/>
      <c r="AS1346" s="84"/>
      <c r="AT1346" s="84"/>
      <c r="AU1346" s="84"/>
      <c r="AV1346" s="84"/>
      <c r="AY1346" s="84"/>
      <c r="AZ1346" s="84"/>
      <c r="BA1346" s="84"/>
      <c r="BB1346" s="84"/>
      <c r="BC1346" s="84"/>
      <c r="BD1346" s="84"/>
      <c r="BE1346" s="84"/>
      <c r="BF1346" s="942"/>
      <c r="BG1346" s="942"/>
      <c r="BH1346" s="942"/>
      <c r="BI1346" s="84"/>
      <c r="BL1346" s="84"/>
      <c r="BM1346" s="84"/>
      <c r="BN1346" s="84"/>
      <c r="BO1346" s="84"/>
      <c r="BP1346" s="84"/>
      <c r="BQ1346" s="84"/>
      <c r="BR1346" s="84"/>
      <c r="BS1346" s="942"/>
      <c r="BT1346" s="942"/>
      <c r="BU1346" s="942"/>
      <c r="BV1346" s="84"/>
    </row>
    <row r="1347" spans="14:74" ht="14.25">
      <c r="N1347" s="84"/>
      <c r="O1347" s="84"/>
      <c r="P1347" s="84"/>
      <c r="Q1347" s="84"/>
      <c r="R1347" s="84"/>
      <c r="S1347" s="84"/>
      <c r="T1347" s="84"/>
      <c r="U1347" s="84"/>
      <c r="V1347" s="84"/>
      <c r="W1347" s="84"/>
      <c r="Y1347" s="84"/>
      <c r="Z1347" s="84"/>
      <c r="AA1347" s="84"/>
      <c r="AB1347" s="84"/>
      <c r="AC1347" s="84"/>
      <c r="AD1347" s="84"/>
      <c r="AE1347" s="84"/>
      <c r="AF1347" s="84"/>
      <c r="AG1347" s="84"/>
      <c r="AH1347" s="84"/>
      <c r="AI1347" s="84"/>
      <c r="AL1347" s="84"/>
      <c r="AM1347" s="84"/>
      <c r="AN1347" s="84"/>
      <c r="AO1347" s="84"/>
      <c r="AP1347" s="84"/>
      <c r="AQ1347" s="84"/>
      <c r="AR1347" s="84"/>
      <c r="AS1347" s="84"/>
      <c r="AT1347" s="84"/>
      <c r="AU1347" s="84"/>
      <c r="AV1347" s="84"/>
      <c r="AY1347" s="84"/>
      <c r="AZ1347" s="84"/>
      <c r="BA1347" s="84"/>
      <c r="BB1347" s="84"/>
      <c r="BC1347" s="84"/>
      <c r="BD1347" s="84"/>
      <c r="BE1347" s="84"/>
      <c r="BF1347" s="942"/>
      <c r="BG1347" s="942"/>
      <c r="BH1347" s="942"/>
      <c r="BI1347" s="84"/>
      <c r="BL1347" s="84"/>
      <c r="BM1347" s="84"/>
      <c r="BN1347" s="84"/>
      <c r="BO1347" s="84"/>
      <c r="BP1347" s="84"/>
      <c r="BQ1347" s="84"/>
      <c r="BR1347" s="84"/>
      <c r="BS1347" s="942"/>
      <c r="BT1347" s="942"/>
      <c r="BU1347" s="942"/>
      <c r="BV1347" s="84"/>
    </row>
    <row r="1348" spans="14:74" ht="14.25">
      <c r="N1348" s="84"/>
      <c r="O1348" s="84"/>
      <c r="P1348" s="84"/>
      <c r="Q1348" s="84"/>
      <c r="R1348" s="84"/>
      <c r="S1348" s="84"/>
      <c r="T1348" s="84"/>
      <c r="U1348" s="84"/>
      <c r="V1348" s="84"/>
      <c r="W1348" s="84"/>
      <c r="Y1348" s="84"/>
      <c r="Z1348" s="84"/>
      <c r="AA1348" s="84"/>
      <c r="AB1348" s="84"/>
      <c r="AC1348" s="84"/>
      <c r="AD1348" s="84"/>
      <c r="AE1348" s="84"/>
      <c r="AF1348" s="84"/>
      <c r="AG1348" s="84"/>
      <c r="AH1348" s="84"/>
      <c r="AI1348" s="84"/>
      <c r="AL1348" s="84"/>
      <c r="AM1348" s="84"/>
      <c r="AN1348" s="84"/>
      <c r="AO1348" s="84"/>
      <c r="AP1348" s="84"/>
      <c r="AQ1348" s="84"/>
      <c r="AR1348" s="84"/>
      <c r="AS1348" s="84"/>
      <c r="AT1348" s="84"/>
      <c r="AU1348" s="84"/>
      <c r="AV1348" s="84"/>
      <c r="AY1348" s="84"/>
      <c r="AZ1348" s="84"/>
      <c r="BA1348" s="84"/>
      <c r="BB1348" s="84"/>
      <c r="BC1348" s="84"/>
      <c r="BD1348" s="84"/>
      <c r="BE1348" s="84"/>
      <c r="BF1348" s="942"/>
      <c r="BG1348" s="942"/>
      <c r="BH1348" s="942"/>
      <c r="BI1348" s="84"/>
      <c r="BL1348" s="84"/>
      <c r="BM1348" s="84"/>
      <c r="BN1348" s="84"/>
      <c r="BO1348" s="84"/>
      <c r="BP1348" s="84"/>
      <c r="BQ1348" s="84"/>
      <c r="BR1348" s="84"/>
      <c r="BS1348" s="942"/>
      <c r="BT1348" s="942"/>
      <c r="BU1348" s="942"/>
      <c r="BV1348" s="84"/>
    </row>
    <row r="1349" spans="14:74" ht="14.25">
      <c r="N1349" s="84"/>
      <c r="O1349" s="84"/>
      <c r="P1349" s="84"/>
      <c r="Q1349" s="84"/>
      <c r="R1349" s="84"/>
      <c r="S1349" s="84"/>
      <c r="T1349" s="84"/>
      <c r="U1349" s="84"/>
      <c r="V1349" s="84"/>
      <c r="W1349" s="84"/>
      <c r="Y1349" s="84"/>
      <c r="Z1349" s="84"/>
      <c r="AA1349" s="84"/>
      <c r="AB1349" s="84"/>
      <c r="AC1349" s="84"/>
      <c r="AD1349" s="84"/>
      <c r="AE1349" s="84"/>
      <c r="AF1349" s="84"/>
      <c r="AG1349" s="84"/>
      <c r="AH1349" s="84"/>
      <c r="AI1349" s="84"/>
      <c r="AL1349" s="84"/>
      <c r="AM1349" s="84"/>
      <c r="AN1349" s="84"/>
      <c r="AO1349" s="84"/>
      <c r="AP1349" s="84"/>
      <c r="AQ1349" s="84"/>
      <c r="AR1349" s="84"/>
      <c r="AS1349" s="84"/>
      <c r="AT1349" s="84"/>
      <c r="AU1349" s="84"/>
      <c r="AV1349" s="84"/>
      <c r="AY1349" s="84"/>
      <c r="AZ1349" s="84"/>
      <c r="BA1349" s="84"/>
      <c r="BB1349" s="84"/>
      <c r="BC1349" s="84"/>
      <c r="BD1349" s="84"/>
      <c r="BE1349" s="84"/>
      <c r="BF1349" s="942"/>
      <c r="BG1349" s="942"/>
      <c r="BH1349" s="942"/>
      <c r="BI1349" s="84"/>
      <c r="BL1349" s="84"/>
      <c r="BM1349" s="84"/>
      <c r="BN1349" s="84"/>
      <c r="BO1349" s="84"/>
      <c r="BP1349" s="84"/>
      <c r="BQ1349" s="84"/>
      <c r="BR1349" s="84"/>
      <c r="BS1349" s="942"/>
      <c r="BT1349" s="942"/>
      <c r="BU1349" s="942"/>
      <c r="BV1349" s="84"/>
    </row>
    <row r="1350" spans="14:74" ht="14.25">
      <c r="N1350" s="84"/>
      <c r="O1350" s="84"/>
      <c r="P1350" s="84"/>
      <c r="Q1350" s="84"/>
      <c r="R1350" s="84"/>
      <c r="S1350" s="84"/>
      <c r="T1350" s="84"/>
      <c r="U1350" s="84"/>
      <c r="V1350" s="84"/>
      <c r="W1350" s="84"/>
      <c r="Y1350" s="84"/>
      <c r="Z1350" s="84"/>
      <c r="AA1350" s="84"/>
      <c r="AB1350" s="84"/>
      <c r="AC1350" s="84"/>
      <c r="AD1350" s="84"/>
      <c r="AE1350" s="84"/>
      <c r="AF1350" s="84"/>
      <c r="AG1350" s="84"/>
      <c r="AH1350" s="84"/>
      <c r="AI1350" s="84"/>
      <c r="AL1350" s="84"/>
      <c r="AM1350" s="84"/>
      <c r="AN1350" s="84"/>
      <c r="AO1350" s="84"/>
      <c r="AP1350" s="84"/>
      <c r="AQ1350" s="84"/>
      <c r="AR1350" s="84"/>
      <c r="AS1350" s="84"/>
      <c r="AT1350" s="84"/>
      <c r="AU1350" s="84"/>
      <c r="AV1350" s="84"/>
      <c r="AY1350" s="84"/>
      <c r="AZ1350" s="84"/>
      <c r="BA1350" s="84"/>
      <c r="BB1350" s="84"/>
      <c r="BC1350" s="84"/>
      <c r="BD1350" s="84"/>
      <c r="BE1350" s="84"/>
      <c r="BF1350" s="942"/>
      <c r="BG1350" s="942"/>
      <c r="BH1350" s="942"/>
      <c r="BI1350" s="84"/>
      <c r="BL1350" s="84"/>
      <c r="BM1350" s="84"/>
      <c r="BN1350" s="84"/>
      <c r="BO1350" s="84"/>
      <c r="BP1350" s="84"/>
      <c r="BQ1350" s="84"/>
      <c r="BR1350" s="84"/>
      <c r="BS1350" s="942"/>
      <c r="BT1350" s="942"/>
      <c r="BU1350" s="942"/>
      <c r="BV1350" s="84"/>
    </row>
    <row r="1351" spans="14:74" ht="14.25">
      <c r="N1351" s="84"/>
      <c r="O1351" s="84"/>
      <c r="P1351" s="84"/>
      <c r="Q1351" s="84"/>
      <c r="R1351" s="84"/>
      <c r="S1351" s="84"/>
      <c r="T1351" s="84"/>
      <c r="U1351" s="84"/>
      <c r="V1351" s="84"/>
      <c r="W1351" s="84"/>
      <c r="Y1351" s="84"/>
      <c r="Z1351" s="84"/>
      <c r="AA1351" s="84"/>
      <c r="AB1351" s="84"/>
      <c r="AC1351" s="84"/>
      <c r="AD1351" s="84"/>
      <c r="AE1351" s="84"/>
      <c r="AF1351" s="84"/>
      <c r="AG1351" s="84"/>
      <c r="AH1351" s="84"/>
      <c r="AI1351" s="84"/>
      <c r="AL1351" s="84"/>
      <c r="AM1351" s="84"/>
      <c r="AN1351" s="84"/>
      <c r="AO1351" s="84"/>
      <c r="AP1351" s="84"/>
      <c r="AQ1351" s="84"/>
      <c r="AR1351" s="84"/>
      <c r="AS1351" s="84"/>
      <c r="AT1351" s="84"/>
      <c r="AU1351" s="84"/>
      <c r="AV1351" s="84"/>
      <c r="AY1351" s="84"/>
      <c r="AZ1351" s="84"/>
      <c r="BA1351" s="84"/>
      <c r="BB1351" s="84"/>
      <c r="BC1351" s="84"/>
      <c r="BD1351" s="84"/>
      <c r="BE1351" s="84"/>
      <c r="BF1351" s="942"/>
      <c r="BG1351" s="942"/>
      <c r="BH1351" s="942"/>
      <c r="BI1351" s="84"/>
      <c r="BL1351" s="84"/>
      <c r="BM1351" s="84"/>
      <c r="BN1351" s="84"/>
      <c r="BO1351" s="84"/>
      <c r="BP1351" s="84"/>
      <c r="BQ1351" s="84"/>
      <c r="BR1351" s="84"/>
      <c r="BS1351" s="942"/>
      <c r="BT1351" s="942"/>
      <c r="BU1351" s="942"/>
      <c r="BV1351" s="84"/>
    </row>
    <row r="1352" spans="14:74" ht="14.25">
      <c r="N1352" s="84"/>
      <c r="O1352" s="84"/>
      <c r="P1352" s="84"/>
      <c r="Q1352" s="84"/>
      <c r="R1352" s="84"/>
      <c r="S1352" s="84"/>
      <c r="T1352" s="84"/>
      <c r="U1352" s="84"/>
      <c r="V1352" s="84"/>
      <c r="W1352" s="84"/>
      <c r="Y1352" s="84"/>
      <c r="Z1352" s="84"/>
      <c r="AA1352" s="84"/>
      <c r="AB1352" s="84"/>
      <c r="AC1352" s="84"/>
      <c r="AD1352" s="84"/>
      <c r="AE1352" s="84"/>
      <c r="AF1352" s="84"/>
      <c r="AG1352" s="84"/>
      <c r="AH1352" s="84"/>
      <c r="AI1352" s="84"/>
      <c r="AL1352" s="84"/>
      <c r="AM1352" s="84"/>
      <c r="AN1352" s="84"/>
      <c r="AO1352" s="84"/>
      <c r="AP1352" s="84"/>
      <c r="AQ1352" s="84"/>
      <c r="AR1352" s="84"/>
      <c r="AS1352" s="84"/>
      <c r="AT1352" s="84"/>
      <c r="AU1352" s="84"/>
      <c r="AV1352" s="84"/>
      <c r="AY1352" s="84"/>
      <c r="AZ1352" s="84"/>
      <c r="BA1352" s="84"/>
      <c r="BB1352" s="84"/>
      <c r="BC1352" s="84"/>
      <c r="BD1352" s="84"/>
      <c r="BE1352" s="84"/>
      <c r="BF1352" s="942"/>
      <c r="BG1352" s="942"/>
      <c r="BH1352" s="942"/>
      <c r="BI1352" s="84"/>
      <c r="BL1352" s="84"/>
      <c r="BM1352" s="84"/>
      <c r="BN1352" s="84"/>
      <c r="BO1352" s="84"/>
      <c r="BP1352" s="84"/>
      <c r="BQ1352" s="84"/>
      <c r="BR1352" s="84"/>
      <c r="BS1352" s="942"/>
      <c r="BT1352" s="942"/>
      <c r="BU1352" s="942"/>
      <c r="BV1352" s="84"/>
    </row>
    <row r="1353" spans="14:74" ht="14.25">
      <c r="N1353" s="84"/>
      <c r="O1353" s="84"/>
      <c r="P1353" s="84"/>
      <c r="Q1353" s="84"/>
      <c r="R1353" s="84"/>
      <c r="S1353" s="84"/>
      <c r="T1353" s="84"/>
      <c r="U1353" s="84"/>
      <c r="V1353" s="84"/>
      <c r="W1353" s="84"/>
      <c r="Y1353" s="84"/>
      <c r="Z1353" s="84"/>
      <c r="AA1353" s="84"/>
      <c r="AB1353" s="84"/>
      <c r="AC1353" s="84"/>
      <c r="AD1353" s="84"/>
      <c r="AE1353" s="84"/>
      <c r="AF1353" s="84"/>
      <c r="AG1353" s="84"/>
      <c r="AH1353" s="84"/>
      <c r="AI1353" s="84"/>
      <c r="AL1353" s="84"/>
      <c r="AM1353" s="84"/>
      <c r="AN1353" s="84"/>
      <c r="AO1353" s="84"/>
      <c r="AP1353" s="84"/>
      <c r="AQ1353" s="84"/>
      <c r="AR1353" s="84"/>
      <c r="AS1353" s="84"/>
      <c r="AT1353" s="84"/>
      <c r="AU1353" s="84"/>
      <c r="AV1353" s="84"/>
      <c r="AY1353" s="84"/>
      <c r="AZ1353" s="84"/>
      <c r="BA1353" s="84"/>
      <c r="BB1353" s="84"/>
      <c r="BC1353" s="84"/>
      <c r="BD1353" s="84"/>
      <c r="BE1353" s="84"/>
      <c r="BF1353" s="942"/>
      <c r="BG1353" s="942"/>
      <c r="BH1353" s="942"/>
      <c r="BI1353" s="84"/>
      <c r="BL1353" s="84"/>
      <c r="BM1353" s="84"/>
      <c r="BN1353" s="84"/>
      <c r="BO1353" s="84"/>
      <c r="BP1353" s="84"/>
      <c r="BQ1353" s="84"/>
      <c r="BR1353" s="84"/>
      <c r="BS1353" s="942"/>
      <c r="BT1353" s="942"/>
      <c r="BU1353" s="942"/>
      <c r="BV1353" s="84"/>
    </row>
    <row r="1354" spans="14:74" ht="14.25">
      <c r="N1354" s="84"/>
      <c r="O1354" s="84"/>
      <c r="P1354" s="84"/>
      <c r="Q1354" s="84"/>
      <c r="R1354" s="84"/>
      <c r="S1354" s="84"/>
      <c r="T1354" s="84"/>
      <c r="U1354" s="84"/>
      <c r="V1354" s="84"/>
      <c r="W1354" s="84"/>
      <c r="Y1354" s="84"/>
      <c r="Z1354" s="84"/>
      <c r="AA1354" s="84"/>
      <c r="AB1354" s="84"/>
      <c r="AC1354" s="84"/>
      <c r="AD1354" s="84"/>
      <c r="AE1354" s="84"/>
      <c r="AF1354" s="84"/>
      <c r="AG1354" s="84"/>
      <c r="AH1354" s="84"/>
      <c r="AI1354" s="84"/>
      <c r="AL1354" s="84"/>
      <c r="AM1354" s="84"/>
      <c r="AN1354" s="84"/>
      <c r="AO1354" s="84"/>
      <c r="AP1354" s="84"/>
      <c r="AQ1354" s="84"/>
      <c r="AR1354" s="84"/>
      <c r="AS1354" s="84"/>
      <c r="AT1354" s="84"/>
      <c r="AU1354" s="84"/>
      <c r="AV1354" s="84"/>
      <c r="AY1354" s="84"/>
      <c r="AZ1354" s="84"/>
      <c r="BA1354" s="84"/>
      <c r="BB1354" s="84"/>
      <c r="BC1354" s="84"/>
      <c r="BD1354" s="84"/>
      <c r="BE1354" s="84"/>
      <c r="BF1354" s="942"/>
      <c r="BG1354" s="942"/>
      <c r="BH1354" s="942"/>
      <c r="BI1354" s="84"/>
      <c r="BL1354" s="84"/>
      <c r="BM1354" s="84"/>
      <c r="BN1354" s="84"/>
      <c r="BO1354" s="84"/>
      <c r="BP1354" s="84"/>
      <c r="BQ1354" s="84"/>
      <c r="BR1354" s="84"/>
      <c r="BS1354" s="942"/>
      <c r="BT1354" s="942"/>
      <c r="BU1354" s="942"/>
      <c r="BV1354" s="84"/>
    </row>
    <row r="1355" spans="14:74" ht="14.25">
      <c r="N1355" s="84"/>
      <c r="O1355" s="84"/>
      <c r="P1355" s="84"/>
      <c r="Q1355" s="84"/>
      <c r="R1355" s="84"/>
      <c r="S1355" s="84"/>
      <c r="T1355" s="84"/>
      <c r="U1355" s="84"/>
      <c r="V1355" s="84"/>
      <c r="W1355" s="84"/>
      <c r="Y1355" s="84"/>
      <c r="Z1355" s="84"/>
      <c r="AA1355" s="84"/>
      <c r="AB1355" s="84"/>
      <c r="AC1355" s="84"/>
      <c r="AD1355" s="84"/>
      <c r="AE1355" s="84"/>
      <c r="AF1355" s="84"/>
      <c r="AG1355" s="84"/>
      <c r="AH1355" s="84"/>
      <c r="AI1355" s="84"/>
      <c r="AL1355" s="84"/>
      <c r="AM1355" s="84"/>
      <c r="AN1355" s="84"/>
      <c r="AO1355" s="84"/>
      <c r="AP1355" s="84"/>
      <c r="AQ1355" s="84"/>
      <c r="AR1355" s="84"/>
      <c r="AS1355" s="84"/>
      <c r="AT1355" s="84"/>
      <c r="AU1355" s="84"/>
      <c r="AV1355" s="84"/>
      <c r="AY1355" s="84"/>
      <c r="AZ1355" s="84"/>
      <c r="BA1355" s="84"/>
      <c r="BB1355" s="84"/>
      <c r="BC1355" s="84"/>
      <c r="BD1355" s="84"/>
      <c r="BE1355" s="84"/>
      <c r="BF1355" s="942"/>
      <c r="BG1355" s="942"/>
      <c r="BH1355" s="942"/>
      <c r="BI1355" s="84"/>
      <c r="BL1355" s="84"/>
      <c r="BM1355" s="84"/>
      <c r="BN1355" s="84"/>
      <c r="BO1355" s="84"/>
      <c r="BP1355" s="84"/>
      <c r="BQ1355" s="84"/>
      <c r="BR1355" s="84"/>
      <c r="BS1355" s="942"/>
      <c r="BT1355" s="942"/>
      <c r="BU1355" s="942"/>
      <c r="BV1355" s="84"/>
    </row>
    <row r="1356" spans="14:74" ht="14.25">
      <c r="N1356" s="84"/>
      <c r="O1356" s="84"/>
      <c r="P1356" s="84"/>
      <c r="Q1356" s="84"/>
      <c r="R1356" s="84"/>
      <c r="S1356" s="84"/>
      <c r="T1356" s="84"/>
      <c r="U1356" s="84"/>
      <c r="V1356" s="84"/>
      <c r="W1356" s="84"/>
      <c r="Y1356" s="84"/>
      <c r="Z1356" s="84"/>
      <c r="AA1356" s="84"/>
      <c r="AB1356" s="84"/>
      <c r="AC1356" s="84"/>
      <c r="AD1356" s="84"/>
      <c r="AE1356" s="84"/>
      <c r="AF1356" s="84"/>
      <c r="AG1356" s="84"/>
      <c r="AH1356" s="84"/>
      <c r="AI1356" s="84"/>
      <c r="AL1356" s="84"/>
      <c r="AM1356" s="84"/>
      <c r="AN1356" s="84"/>
      <c r="AO1356" s="84"/>
      <c r="AP1356" s="84"/>
      <c r="AQ1356" s="84"/>
      <c r="AR1356" s="84"/>
      <c r="AS1356" s="84"/>
      <c r="AT1356" s="84"/>
      <c r="AU1356" s="84"/>
      <c r="AV1356" s="84"/>
      <c r="AY1356" s="84"/>
      <c r="AZ1356" s="84"/>
      <c r="BA1356" s="84"/>
      <c r="BB1356" s="84"/>
      <c r="BC1356" s="84"/>
      <c r="BD1356" s="84"/>
      <c r="BE1356" s="84"/>
      <c r="BF1356" s="942"/>
      <c r="BG1356" s="942"/>
      <c r="BH1356" s="942"/>
      <c r="BI1356" s="84"/>
      <c r="BL1356" s="84"/>
      <c r="BM1356" s="84"/>
      <c r="BN1356" s="84"/>
      <c r="BO1356" s="84"/>
      <c r="BP1356" s="84"/>
      <c r="BQ1356" s="84"/>
      <c r="BR1356" s="84"/>
      <c r="BS1356" s="942"/>
      <c r="BT1356" s="942"/>
      <c r="BU1356" s="942"/>
      <c r="BV1356" s="84"/>
    </row>
    <row r="1357" spans="14:74" ht="14.25">
      <c r="N1357" s="84"/>
      <c r="O1357" s="84"/>
      <c r="P1357" s="84"/>
      <c r="Q1357" s="84"/>
      <c r="R1357" s="84"/>
      <c r="S1357" s="84"/>
      <c r="T1357" s="84"/>
      <c r="U1357" s="84"/>
      <c r="V1357" s="84"/>
      <c r="W1357" s="84"/>
      <c r="Y1357" s="84"/>
      <c r="Z1357" s="84"/>
      <c r="AA1357" s="84"/>
      <c r="AB1357" s="84"/>
      <c r="AC1357" s="84"/>
      <c r="AD1357" s="84"/>
      <c r="AE1357" s="84"/>
      <c r="AF1357" s="84"/>
      <c r="AG1357" s="84"/>
      <c r="AH1357" s="84"/>
      <c r="AI1357" s="84"/>
      <c r="AL1357" s="84"/>
      <c r="AM1357" s="84"/>
      <c r="AN1357" s="84"/>
      <c r="AO1357" s="84"/>
      <c r="AP1357" s="84"/>
      <c r="AQ1357" s="84"/>
      <c r="AR1357" s="84"/>
      <c r="AS1357" s="84"/>
      <c r="AT1357" s="84"/>
      <c r="AU1357" s="84"/>
      <c r="AV1357" s="84"/>
      <c r="AY1357" s="84"/>
      <c r="AZ1357" s="84"/>
      <c r="BA1357" s="84"/>
      <c r="BB1357" s="84"/>
      <c r="BC1357" s="84"/>
      <c r="BD1357" s="84"/>
      <c r="BE1357" s="84"/>
      <c r="BF1357" s="942"/>
      <c r="BG1357" s="942"/>
      <c r="BH1357" s="942"/>
      <c r="BI1357" s="84"/>
      <c r="BL1357" s="84"/>
      <c r="BM1357" s="84"/>
      <c r="BN1357" s="84"/>
      <c r="BO1357" s="84"/>
      <c r="BP1357" s="84"/>
      <c r="BQ1357" s="84"/>
      <c r="BR1357" s="84"/>
      <c r="BS1357" s="942"/>
      <c r="BT1357" s="942"/>
      <c r="BU1357" s="942"/>
      <c r="BV1357" s="84"/>
    </row>
    <row r="1358" spans="14:74" ht="14.25">
      <c r="N1358" s="84"/>
      <c r="O1358" s="84"/>
      <c r="P1358" s="84"/>
      <c r="Q1358" s="84"/>
      <c r="R1358" s="84"/>
      <c r="S1358" s="84"/>
      <c r="T1358" s="84"/>
      <c r="U1358" s="84"/>
      <c r="V1358" s="84"/>
      <c r="W1358" s="84"/>
      <c r="Y1358" s="84"/>
      <c r="Z1358" s="84"/>
      <c r="AA1358" s="84"/>
      <c r="AB1358" s="84"/>
      <c r="AC1358" s="84"/>
      <c r="AD1358" s="84"/>
      <c r="AE1358" s="84"/>
      <c r="AF1358" s="84"/>
      <c r="AG1358" s="84"/>
      <c r="AH1358" s="84"/>
      <c r="AI1358" s="84"/>
      <c r="AL1358" s="84"/>
      <c r="AM1358" s="84"/>
      <c r="AN1358" s="84"/>
      <c r="AO1358" s="84"/>
      <c r="AP1358" s="84"/>
      <c r="AQ1358" s="84"/>
      <c r="AR1358" s="84"/>
      <c r="AS1358" s="84"/>
      <c r="AT1358" s="84"/>
      <c r="AU1358" s="84"/>
      <c r="AV1358" s="84"/>
      <c r="AY1358" s="84"/>
      <c r="AZ1358" s="84"/>
      <c r="BA1358" s="84"/>
      <c r="BB1358" s="84"/>
      <c r="BC1358" s="84"/>
      <c r="BD1358" s="84"/>
      <c r="BE1358" s="84"/>
      <c r="BF1358" s="942"/>
      <c r="BG1358" s="942"/>
      <c r="BH1358" s="942"/>
      <c r="BI1358" s="84"/>
      <c r="BL1358" s="84"/>
      <c r="BM1358" s="84"/>
      <c r="BN1358" s="84"/>
      <c r="BO1358" s="84"/>
      <c r="BP1358" s="84"/>
      <c r="BQ1358" s="84"/>
      <c r="BR1358" s="84"/>
      <c r="BS1358" s="942"/>
      <c r="BT1358" s="942"/>
      <c r="BU1358" s="942"/>
      <c r="BV1358" s="84"/>
    </row>
    <row r="1359" spans="14:74" ht="14.25">
      <c r="N1359" s="84"/>
      <c r="O1359" s="84"/>
      <c r="P1359" s="84"/>
      <c r="Q1359" s="84"/>
      <c r="R1359" s="84"/>
      <c r="S1359" s="84"/>
      <c r="T1359" s="84"/>
      <c r="U1359" s="84"/>
      <c r="V1359" s="84"/>
      <c r="W1359" s="84"/>
      <c r="Y1359" s="84"/>
      <c r="Z1359" s="84"/>
      <c r="AA1359" s="84"/>
      <c r="AB1359" s="84"/>
      <c r="AC1359" s="84"/>
      <c r="AD1359" s="84"/>
      <c r="AE1359" s="84"/>
      <c r="AF1359" s="84"/>
      <c r="AG1359" s="84"/>
      <c r="AH1359" s="84"/>
      <c r="AI1359" s="84"/>
      <c r="AL1359" s="84"/>
      <c r="AM1359" s="84"/>
      <c r="AN1359" s="84"/>
      <c r="AO1359" s="84"/>
      <c r="AP1359" s="84"/>
      <c r="AQ1359" s="84"/>
      <c r="AR1359" s="84"/>
      <c r="AS1359" s="84"/>
      <c r="AT1359" s="84"/>
      <c r="AU1359" s="84"/>
      <c r="AV1359" s="84"/>
      <c r="AY1359" s="84"/>
      <c r="AZ1359" s="84"/>
      <c r="BA1359" s="84"/>
      <c r="BB1359" s="84"/>
      <c r="BC1359" s="84"/>
      <c r="BD1359" s="84"/>
      <c r="BE1359" s="84"/>
      <c r="BF1359" s="942"/>
      <c r="BG1359" s="942"/>
      <c r="BH1359" s="942"/>
      <c r="BI1359" s="84"/>
      <c r="BL1359" s="84"/>
      <c r="BM1359" s="84"/>
      <c r="BN1359" s="84"/>
      <c r="BO1359" s="84"/>
      <c r="BP1359" s="84"/>
      <c r="BQ1359" s="84"/>
      <c r="BR1359" s="84"/>
      <c r="BS1359" s="942"/>
      <c r="BT1359" s="942"/>
      <c r="BU1359" s="942"/>
      <c r="BV1359" s="84"/>
    </row>
    <row r="1360" spans="14:74" ht="14.25">
      <c r="N1360" s="84"/>
      <c r="O1360" s="84"/>
      <c r="P1360" s="84"/>
      <c r="Q1360" s="84"/>
      <c r="R1360" s="84"/>
      <c r="S1360" s="84"/>
      <c r="T1360" s="84"/>
      <c r="U1360" s="84"/>
      <c r="V1360" s="84"/>
      <c r="W1360" s="84"/>
      <c r="Y1360" s="84"/>
      <c r="Z1360" s="84"/>
      <c r="AA1360" s="84"/>
      <c r="AB1360" s="84"/>
      <c r="AC1360" s="84"/>
      <c r="AD1360" s="84"/>
      <c r="AE1360" s="84"/>
      <c r="AF1360" s="84"/>
      <c r="AG1360" s="84"/>
      <c r="AH1360" s="84"/>
      <c r="AI1360" s="84"/>
      <c r="AL1360" s="84"/>
      <c r="AM1360" s="84"/>
      <c r="AN1360" s="84"/>
      <c r="AO1360" s="84"/>
      <c r="AP1360" s="84"/>
      <c r="AQ1360" s="84"/>
      <c r="AR1360" s="84"/>
      <c r="AS1360" s="84"/>
      <c r="AT1360" s="84"/>
      <c r="AU1360" s="84"/>
      <c r="AV1360" s="84"/>
      <c r="AY1360" s="84"/>
      <c r="AZ1360" s="84"/>
      <c r="BA1360" s="84"/>
      <c r="BB1360" s="84"/>
      <c r="BC1360" s="84"/>
      <c r="BD1360" s="84"/>
      <c r="BE1360" s="84"/>
      <c r="BF1360" s="942"/>
      <c r="BG1360" s="942"/>
      <c r="BH1360" s="942"/>
      <c r="BI1360" s="84"/>
      <c r="BL1360" s="84"/>
      <c r="BM1360" s="84"/>
      <c r="BN1360" s="84"/>
      <c r="BO1360" s="84"/>
      <c r="BP1360" s="84"/>
      <c r="BQ1360" s="84"/>
      <c r="BR1360" s="84"/>
      <c r="BS1360" s="942"/>
      <c r="BT1360" s="942"/>
      <c r="BU1360" s="942"/>
      <c r="BV1360" s="84"/>
    </row>
    <row r="1361" spans="14:74" ht="14.25">
      <c r="N1361" s="84"/>
      <c r="O1361" s="84"/>
      <c r="P1361" s="84"/>
      <c r="Q1361" s="84"/>
      <c r="R1361" s="84"/>
      <c r="S1361" s="84"/>
      <c r="T1361" s="84"/>
      <c r="U1361" s="84"/>
      <c r="V1361" s="84"/>
      <c r="W1361" s="84"/>
      <c r="Y1361" s="84"/>
      <c r="Z1361" s="84"/>
      <c r="AA1361" s="84"/>
      <c r="AB1361" s="84"/>
      <c r="AC1361" s="84"/>
      <c r="AD1361" s="84"/>
      <c r="AE1361" s="84"/>
      <c r="AF1361" s="84"/>
      <c r="AG1361" s="84"/>
      <c r="AH1361" s="84"/>
      <c r="AI1361" s="84"/>
      <c r="AL1361" s="84"/>
      <c r="AM1361" s="84"/>
      <c r="AN1361" s="84"/>
      <c r="AO1361" s="84"/>
      <c r="AP1361" s="84"/>
      <c r="AQ1361" s="84"/>
      <c r="AR1361" s="84"/>
      <c r="AS1361" s="84"/>
      <c r="AT1361" s="84"/>
      <c r="AU1361" s="84"/>
      <c r="AV1361" s="84"/>
      <c r="AY1361" s="84"/>
      <c r="AZ1361" s="84"/>
      <c r="BA1361" s="84"/>
      <c r="BB1361" s="84"/>
      <c r="BC1361" s="84"/>
      <c r="BD1361" s="84"/>
      <c r="BE1361" s="84"/>
      <c r="BF1361" s="942"/>
      <c r="BG1361" s="942"/>
      <c r="BH1361" s="942"/>
      <c r="BI1361" s="84"/>
      <c r="BL1361" s="84"/>
      <c r="BM1361" s="84"/>
      <c r="BN1361" s="84"/>
      <c r="BO1361" s="84"/>
      <c r="BP1361" s="84"/>
      <c r="BQ1361" s="84"/>
      <c r="BR1361" s="84"/>
      <c r="BS1361" s="942"/>
      <c r="BT1361" s="942"/>
      <c r="BU1361" s="942"/>
      <c r="BV1361" s="84"/>
    </row>
    <row r="1362" spans="14:74" ht="14.25">
      <c r="N1362" s="84"/>
      <c r="O1362" s="84"/>
      <c r="P1362" s="84"/>
      <c r="Q1362" s="84"/>
      <c r="R1362" s="84"/>
      <c r="S1362" s="84"/>
      <c r="T1362" s="84"/>
      <c r="U1362" s="84"/>
      <c r="V1362" s="84"/>
      <c r="W1362" s="84"/>
      <c r="Y1362" s="84"/>
      <c r="Z1362" s="84"/>
      <c r="AA1362" s="84"/>
      <c r="AB1362" s="84"/>
      <c r="AC1362" s="84"/>
      <c r="AD1362" s="84"/>
      <c r="AE1362" s="84"/>
      <c r="AF1362" s="84"/>
      <c r="AG1362" s="84"/>
      <c r="AH1362" s="84"/>
      <c r="AI1362" s="84"/>
      <c r="AL1362" s="84"/>
      <c r="AM1362" s="84"/>
      <c r="AN1362" s="84"/>
      <c r="AO1362" s="84"/>
      <c r="AP1362" s="84"/>
      <c r="AQ1362" s="84"/>
      <c r="AR1362" s="84"/>
      <c r="AS1362" s="84"/>
      <c r="AT1362" s="84"/>
      <c r="AU1362" s="84"/>
      <c r="AV1362" s="84"/>
      <c r="AY1362" s="84"/>
      <c r="AZ1362" s="84"/>
      <c r="BA1362" s="84"/>
      <c r="BB1362" s="84"/>
      <c r="BC1362" s="84"/>
      <c r="BD1362" s="84"/>
      <c r="BE1362" s="84"/>
      <c r="BF1362" s="942"/>
      <c r="BG1362" s="942"/>
      <c r="BH1362" s="942"/>
      <c r="BI1362" s="84"/>
      <c r="BL1362" s="84"/>
      <c r="BM1362" s="84"/>
      <c r="BN1362" s="84"/>
      <c r="BO1362" s="84"/>
      <c r="BP1362" s="84"/>
      <c r="BQ1362" s="84"/>
      <c r="BR1362" s="84"/>
      <c r="BS1362" s="942"/>
      <c r="BT1362" s="942"/>
      <c r="BU1362" s="942"/>
      <c r="BV1362" s="84"/>
    </row>
    <row r="1363" spans="14:74" ht="14.25">
      <c r="N1363" s="84"/>
      <c r="O1363" s="84"/>
      <c r="P1363" s="84"/>
      <c r="Q1363" s="84"/>
      <c r="R1363" s="84"/>
      <c r="S1363" s="84"/>
      <c r="T1363" s="84"/>
      <c r="U1363" s="84"/>
      <c r="V1363" s="84"/>
      <c r="W1363" s="84"/>
      <c r="Y1363" s="84"/>
      <c r="Z1363" s="84"/>
      <c r="AA1363" s="84"/>
      <c r="AB1363" s="84"/>
      <c r="AC1363" s="84"/>
      <c r="AD1363" s="84"/>
      <c r="AE1363" s="84"/>
      <c r="AF1363" s="84"/>
      <c r="AG1363" s="84"/>
      <c r="AH1363" s="84"/>
      <c r="AI1363" s="84"/>
      <c r="AL1363" s="84"/>
      <c r="AM1363" s="84"/>
      <c r="AN1363" s="84"/>
      <c r="AO1363" s="84"/>
      <c r="AP1363" s="84"/>
      <c r="AQ1363" s="84"/>
      <c r="AR1363" s="84"/>
      <c r="AS1363" s="84"/>
      <c r="AT1363" s="84"/>
      <c r="AU1363" s="84"/>
      <c r="AV1363" s="84"/>
      <c r="AY1363" s="84"/>
      <c r="AZ1363" s="84"/>
      <c r="BA1363" s="84"/>
      <c r="BB1363" s="84"/>
      <c r="BC1363" s="84"/>
      <c r="BD1363" s="84"/>
      <c r="BE1363" s="84"/>
      <c r="BF1363" s="942"/>
      <c r="BG1363" s="942"/>
      <c r="BH1363" s="942"/>
      <c r="BI1363" s="84"/>
      <c r="BL1363" s="84"/>
      <c r="BM1363" s="84"/>
      <c r="BN1363" s="84"/>
      <c r="BO1363" s="84"/>
      <c r="BP1363" s="84"/>
      <c r="BQ1363" s="84"/>
      <c r="BR1363" s="84"/>
      <c r="BS1363" s="942"/>
      <c r="BT1363" s="942"/>
      <c r="BU1363" s="942"/>
      <c r="BV1363" s="84"/>
    </row>
    <row r="1364" spans="14:74" ht="14.25">
      <c r="N1364" s="84"/>
      <c r="O1364" s="84"/>
      <c r="P1364" s="84"/>
      <c r="Q1364" s="84"/>
      <c r="R1364" s="84"/>
      <c r="S1364" s="84"/>
      <c r="T1364" s="84"/>
      <c r="U1364" s="84"/>
      <c r="V1364" s="84"/>
      <c r="W1364" s="84"/>
      <c r="Y1364" s="84"/>
      <c r="Z1364" s="84"/>
      <c r="AA1364" s="84"/>
      <c r="AB1364" s="84"/>
      <c r="AC1364" s="84"/>
      <c r="AD1364" s="84"/>
      <c r="AE1364" s="84"/>
      <c r="AF1364" s="84"/>
      <c r="AG1364" s="84"/>
      <c r="AH1364" s="84"/>
      <c r="AI1364" s="84"/>
      <c r="AL1364" s="84"/>
      <c r="AM1364" s="84"/>
      <c r="AN1364" s="84"/>
      <c r="AO1364" s="84"/>
      <c r="AP1364" s="84"/>
      <c r="AQ1364" s="84"/>
      <c r="AR1364" s="84"/>
      <c r="AS1364" s="84"/>
      <c r="AT1364" s="84"/>
      <c r="AU1364" s="84"/>
      <c r="AV1364" s="84"/>
      <c r="AY1364" s="84"/>
      <c r="AZ1364" s="84"/>
      <c r="BA1364" s="84"/>
      <c r="BB1364" s="84"/>
      <c r="BC1364" s="84"/>
      <c r="BD1364" s="84"/>
      <c r="BE1364" s="84"/>
      <c r="BF1364" s="942"/>
      <c r="BG1364" s="942"/>
      <c r="BH1364" s="942"/>
      <c r="BI1364" s="84"/>
      <c r="BL1364" s="84"/>
      <c r="BM1364" s="84"/>
      <c r="BN1364" s="84"/>
      <c r="BO1364" s="84"/>
      <c r="BP1364" s="84"/>
      <c r="BQ1364" s="84"/>
      <c r="BR1364" s="84"/>
      <c r="BS1364" s="942"/>
      <c r="BT1364" s="942"/>
      <c r="BU1364" s="942"/>
      <c r="BV1364" s="84"/>
    </row>
    <row r="1365" spans="14:74" ht="14.25">
      <c r="N1365" s="84"/>
      <c r="O1365" s="84"/>
      <c r="P1365" s="84"/>
      <c r="Q1365" s="84"/>
      <c r="R1365" s="84"/>
      <c r="S1365" s="84"/>
      <c r="T1365" s="84"/>
      <c r="U1365" s="84"/>
      <c r="V1365" s="84"/>
      <c r="W1365" s="84"/>
      <c r="Y1365" s="84"/>
      <c r="Z1365" s="84"/>
      <c r="AA1365" s="84"/>
      <c r="AB1365" s="84"/>
      <c r="AC1365" s="84"/>
      <c r="AD1365" s="84"/>
      <c r="AE1365" s="84"/>
      <c r="AF1365" s="84"/>
      <c r="AG1365" s="84"/>
      <c r="AH1365" s="84"/>
      <c r="AI1365" s="84"/>
      <c r="AL1365" s="84"/>
      <c r="AM1365" s="84"/>
      <c r="AN1365" s="84"/>
      <c r="AO1365" s="84"/>
      <c r="AP1365" s="84"/>
      <c r="AQ1365" s="84"/>
      <c r="AR1365" s="84"/>
      <c r="AS1365" s="84"/>
      <c r="AT1365" s="84"/>
      <c r="AU1365" s="84"/>
      <c r="AV1365" s="84"/>
      <c r="AY1365" s="84"/>
      <c r="AZ1365" s="84"/>
      <c r="BA1365" s="84"/>
      <c r="BB1365" s="84"/>
      <c r="BC1365" s="84"/>
      <c r="BD1365" s="84"/>
      <c r="BE1365" s="84"/>
      <c r="BF1365" s="942"/>
      <c r="BG1365" s="942"/>
      <c r="BH1365" s="942"/>
      <c r="BI1365" s="84"/>
      <c r="BL1365" s="84"/>
      <c r="BM1365" s="84"/>
      <c r="BN1365" s="84"/>
      <c r="BO1365" s="84"/>
      <c r="BP1365" s="84"/>
      <c r="BQ1365" s="84"/>
      <c r="BR1365" s="84"/>
      <c r="BS1365" s="942"/>
      <c r="BT1365" s="942"/>
      <c r="BU1365" s="942"/>
      <c r="BV1365" s="84"/>
    </row>
    <row r="1366" spans="14:74" ht="14.25">
      <c r="N1366" s="84"/>
      <c r="O1366" s="84"/>
      <c r="P1366" s="84"/>
      <c r="Q1366" s="84"/>
      <c r="R1366" s="84"/>
      <c r="S1366" s="84"/>
      <c r="T1366" s="84"/>
      <c r="U1366" s="84"/>
      <c r="V1366" s="84"/>
      <c r="W1366" s="84"/>
      <c r="Y1366" s="84"/>
      <c r="Z1366" s="84"/>
      <c r="AA1366" s="84"/>
      <c r="AB1366" s="84"/>
      <c r="AC1366" s="84"/>
      <c r="AD1366" s="84"/>
      <c r="AE1366" s="84"/>
      <c r="AF1366" s="84"/>
      <c r="AG1366" s="84"/>
      <c r="AH1366" s="84"/>
      <c r="AI1366" s="84"/>
      <c r="AL1366" s="84"/>
      <c r="AM1366" s="84"/>
      <c r="AN1366" s="84"/>
      <c r="AO1366" s="84"/>
      <c r="AP1366" s="84"/>
      <c r="AQ1366" s="84"/>
      <c r="AR1366" s="84"/>
      <c r="AS1366" s="84"/>
      <c r="AT1366" s="84"/>
      <c r="AU1366" s="84"/>
      <c r="AV1366" s="84"/>
      <c r="AY1366" s="84"/>
      <c r="AZ1366" s="84"/>
      <c r="BA1366" s="84"/>
      <c r="BB1366" s="84"/>
      <c r="BC1366" s="84"/>
      <c r="BD1366" s="84"/>
      <c r="BE1366" s="84"/>
      <c r="BF1366" s="942"/>
      <c r="BG1366" s="942"/>
      <c r="BH1366" s="942"/>
      <c r="BI1366" s="84"/>
      <c r="BL1366" s="84"/>
      <c r="BM1366" s="84"/>
      <c r="BN1366" s="84"/>
      <c r="BO1366" s="84"/>
      <c r="BP1366" s="84"/>
      <c r="BQ1366" s="84"/>
      <c r="BR1366" s="84"/>
      <c r="BS1366" s="942"/>
      <c r="BT1366" s="942"/>
      <c r="BU1366" s="942"/>
      <c r="BV1366" s="84"/>
    </row>
    <row r="1367" spans="14:74" ht="14.25">
      <c r="N1367" s="84"/>
      <c r="O1367" s="84"/>
      <c r="P1367" s="84"/>
      <c r="Q1367" s="84"/>
      <c r="R1367" s="84"/>
      <c r="S1367" s="84"/>
      <c r="T1367" s="84"/>
      <c r="U1367" s="84"/>
      <c r="V1367" s="84"/>
      <c r="W1367" s="84"/>
      <c r="Y1367" s="84"/>
      <c r="Z1367" s="84"/>
      <c r="AA1367" s="84"/>
      <c r="AB1367" s="84"/>
      <c r="AC1367" s="84"/>
      <c r="AD1367" s="84"/>
      <c r="AE1367" s="84"/>
      <c r="AF1367" s="84"/>
      <c r="AG1367" s="84"/>
      <c r="AH1367" s="84"/>
      <c r="AI1367" s="84"/>
      <c r="AL1367" s="84"/>
      <c r="AM1367" s="84"/>
      <c r="AN1367" s="84"/>
      <c r="AO1367" s="84"/>
      <c r="AP1367" s="84"/>
      <c r="AQ1367" s="84"/>
      <c r="AR1367" s="84"/>
      <c r="AS1367" s="84"/>
      <c r="AT1367" s="84"/>
      <c r="AU1367" s="84"/>
      <c r="AV1367" s="84"/>
      <c r="AY1367" s="84"/>
      <c r="AZ1367" s="84"/>
      <c r="BA1367" s="84"/>
      <c r="BB1367" s="84"/>
      <c r="BC1367" s="84"/>
      <c r="BD1367" s="84"/>
      <c r="BE1367" s="84"/>
      <c r="BF1367" s="942"/>
      <c r="BG1367" s="942"/>
      <c r="BH1367" s="942"/>
      <c r="BI1367" s="84"/>
      <c r="BL1367" s="84"/>
      <c r="BM1367" s="84"/>
      <c r="BN1367" s="84"/>
      <c r="BO1367" s="84"/>
      <c r="BP1367" s="84"/>
      <c r="BQ1367" s="84"/>
      <c r="BR1367" s="84"/>
      <c r="BS1367" s="942"/>
      <c r="BT1367" s="942"/>
      <c r="BU1367" s="942"/>
      <c r="BV1367" s="84"/>
    </row>
    <row r="1368" spans="14:74" ht="14.25">
      <c r="N1368" s="84"/>
      <c r="O1368" s="84"/>
      <c r="P1368" s="84"/>
      <c r="Q1368" s="84"/>
      <c r="R1368" s="84"/>
      <c r="S1368" s="84"/>
      <c r="T1368" s="84"/>
      <c r="U1368" s="84"/>
      <c r="V1368" s="84"/>
      <c r="W1368" s="84"/>
      <c r="Y1368" s="84"/>
      <c r="Z1368" s="84"/>
      <c r="AA1368" s="84"/>
      <c r="AB1368" s="84"/>
      <c r="AC1368" s="84"/>
      <c r="AD1368" s="84"/>
      <c r="AE1368" s="84"/>
      <c r="AF1368" s="84"/>
      <c r="AG1368" s="84"/>
      <c r="AH1368" s="84"/>
      <c r="AI1368" s="84"/>
      <c r="AL1368" s="84"/>
      <c r="AM1368" s="84"/>
      <c r="AN1368" s="84"/>
      <c r="AO1368" s="84"/>
      <c r="AP1368" s="84"/>
      <c r="AQ1368" s="84"/>
      <c r="AR1368" s="84"/>
      <c r="AS1368" s="84"/>
      <c r="AT1368" s="84"/>
      <c r="AU1368" s="84"/>
      <c r="AV1368" s="84"/>
      <c r="AY1368" s="84"/>
      <c r="AZ1368" s="84"/>
      <c r="BA1368" s="84"/>
      <c r="BB1368" s="84"/>
      <c r="BC1368" s="84"/>
      <c r="BD1368" s="84"/>
      <c r="BE1368" s="84"/>
      <c r="BF1368" s="942"/>
      <c r="BG1368" s="942"/>
      <c r="BH1368" s="942"/>
      <c r="BI1368" s="84"/>
      <c r="BL1368" s="84"/>
      <c r="BM1368" s="84"/>
      <c r="BN1368" s="84"/>
      <c r="BO1368" s="84"/>
      <c r="BP1368" s="84"/>
      <c r="BQ1368" s="84"/>
      <c r="BR1368" s="84"/>
      <c r="BS1368" s="942"/>
      <c r="BT1368" s="942"/>
      <c r="BU1368" s="942"/>
      <c r="BV1368" s="84"/>
    </row>
    <row r="1369" spans="14:74" ht="14.25">
      <c r="N1369" s="84"/>
      <c r="O1369" s="84"/>
      <c r="P1369" s="84"/>
      <c r="Q1369" s="84"/>
      <c r="R1369" s="84"/>
      <c r="S1369" s="84"/>
      <c r="T1369" s="84"/>
      <c r="U1369" s="84"/>
      <c r="V1369" s="84"/>
      <c r="W1369" s="84"/>
      <c r="Y1369" s="84"/>
      <c r="Z1369" s="84"/>
      <c r="AA1369" s="84"/>
      <c r="AB1369" s="84"/>
      <c r="AC1369" s="84"/>
      <c r="AD1369" s="84"/>
      <c r="AE1369" s="84"/>
      <c r="AF1369" s="84"/>
      <c r="AG1369" s="84"/>
      <c r="AH1369" s="84"/>
      <c r="AI1369" s="84"/>
      <c r="AL1369" s="84"/>
      <c r="AM1369" s="84"/>
      <c r="AN1369" s="84"/>
      <c r="AO1369" s="84"/>
      <c r="AP1369" s="84"/>
      <c r="AQ1369" s="84"/>
      <c r="AR1369" s="84"/>
      <c r="AS1369" s="84"/>
      <c r="AT1369" s="84"/>
      <c r="AU1369" s="84"/>
      <c r="AV1369" s="84"/>
      <c r="AY1369" s="84"/>
      <c r="AZ1369" s="84"/>
      <c r="BA1369" s="84"/>
      <c r="BB1369" s="84"/>
      <c r="BC1369" s="84"/>
      <c r="BD1369" s="84"/>
      <c r="BE1369" s="84"/>
      <c r="BF1369" s="942"/>
      <c r="BG1369" s="942"/>
      <c r="BH1369" s="942"/>
      <c r="BI1369" s="84"/>
      <c r="BL1369" s="84"/>
      <c r="BM1369" s="84"/>
      <c r="BN1369" s="84"/>
      <c r="BO1369" s="84"/>
      <c r="BP1369" s="84"/>
      <c r="BQ1369" s="84"/>
      <c r="BR1369" s="84"/>
      <c r="BS1369" s="942"/>
      <c r="BT1369" s="942"/>
      <c r="BU1369" s="942"/>
      <c r="BV1369" s="84"/>
    </row>
    <row r="1370" spans="14:74" ht="14.25">
      <c r="N1370" s="84"/>
      <c r="O1370" s="84"/>
      <c r="P1370" s="84"/>
      <c r="Q1370" s="84"/>
      <c r="R1370" s="84"/>
      <c r="S1370" s="84"/>
      <c r="T1370" s="84"/>
      <c r="U1370" s="84"/>
      <c r="V1370" s="84"/>
      <c r="W1370" s="84"/>
      <c r="Y1370" s="84"/>
      <c r="Z1370" s="84"/>
      <c r="AA1370" s="84"/>
      <c r="AB1370" s="84"/>
      <c r="AC1370" s="84"/>
      <c r="AD1370" s="84"/>
      <c r="AE1370" s="84"/>
      <c r="AF1370" s="84"/>
      <c r="AG1370" s="84"/>
      <c r="AH1370" s="84"/>
      <c r="AI1370" s="84"/>
      <c r="AL1370" s="84"/>
      <c r="AM1370" s="84"/>
      <c r="AN1370" s="84"/>
      <c r="AO1370" s="84"/>
      <c r="AP1370" s="84"/>
      <c r="AQ1370" s="84"/>
      <c r="AR1370" s="84"/>
      <c r="AS1370" s="84"/>
      <c r="AT1370" s="84"/>
      <c r="AU1370" s="84"/>
      <c r="AV1370" s="84"/>
      <c r="AY1370" s="84"/>
      <c r="AZ1370" s="84"/>
      <c r="BA1370" s="84"/>
      <c r="BB1370" s="84"/>
      <c r="BC1370" s="84"/>
      <c r="BD1370" s="84"/>
      <c r="BE1370" s="84"/>
      <c r="BF1370" s="942"/>
      <c r="BG1370" s="942"/>
      <c r="BH1370" s="942"/>
      <c r="BI1370" s="84"/>
      <c r="BL1370" s="84"/>
      <c r="BM1370" s="84"/>
      <c r="BN1370" s="84"/>
      <c r="BO1370" s="84"/>
      <c r="BP1370" s="84"/>
      <c r="BQ1370" s="84"/>
      <c r="BR1370" s="84"/>
      <c r="BS1370" s="942"/>
      <c r="BT1370" s="942"/>
      <c r="BU1370" s="942"/>
      <c r="BV1370" s="84"/>
    </row>
    <row r="1371" spans="14:74" ht="14.25">
      <c r="N1371" s="84"/>
      <c r="O1371" s="84"/>
      <c r="P1371" s="84"/>
      <c r="Q1371" s="84"/>
      <c r="R1371" s="84"/>
      <c r="S1371" s="84"/>
      <c r="T1371" s="84"/>
      <c r="U1371" s="84"/>
      <c r="V1371" s="84"/>
      <c r="W1371" s="84"/>
      <c r="Y1371" s="84"/>
      <c r="Z1371" s="84"/>
      <c r="AA1371" s="84"/>
      <c r="AB1371" s="84"/>
      <c r="AC1371" s="84"/>
      <c r="AD1371" s="84"/>
      <c r="AE1371" s="84"/>
      <c r="AF1371" s="84"/>
      <c r="AG1371" s="84"/>
      <c r="AH1371" s="84"/>
      <c r="AI1371" s="84"/>
      <c r="AL1371" s="84"/>
      <c r="AM1371" s="84"/>
      <c r="AN1371" s="84"/>
      <c r="AO1371" s="84"/>
      <c r="AP1371" s="84"/>
      <c r="AQ1371" s="84"/>
      <c r="AR1371" s="84"/>
      <c r="AS1371" s="84"/>
      <c r="AT1371" s="84"/>
      <c r="AU1371" s="84"/>
      <c r="AV1371" s="84"/>
      <c r="AY1371" s="84"/>
      <c r="AZ1371" s="84"/>
      <c r="BA1371" s="84"/>
      <c r="BB1371" s="84"/>
      <c r="BC1371" s="84"/>
      <c r="BD1371" s="84"/>
      <c r="BE1371" s="84"/>
      <c r="BF1371" s="942"/>
      <c r="BG1371" s="942"/>
      <c r="BH1371" s="942"/>
      <c r="BI1371" s="84"/>
      <c r="BL1371" s="84"/>
      <c r="BM1371" s="84"/>
      <c r="BN1371" s="84"/>
      <c r="BO1371" s="84"/>
      <c r="BP1371" s="84"/>
      <c r="BQ1371" s="84"/>
      <c r="BR1371" s="84"/>
      <c r="BS1371" s="942"/>
      <c r="BT1371" s="942"/>
      <c r="BU1371" s="942"/>
      <c r="BV1371" s="84"/>
    </row>
    <row r="1372" spans="14:74" ht="14.25">
      <c r="N1372" s="84"/>
      <c r="O1372" s="84"/>
      <c r="P1372" s="84"/>
      <c r="Q1372" s="84"/>
      <c r="R1372" s="84"/>
      <c r="S1372" s="84"/>
      <c r="T1372" s="84"/>
      <c r="U1372" s="84"/>
      <c r="V1372" s="84"/>
      <c r="W1372" s="84"/>
      <c r="Y1372" s="84"/>
      <c r="Z1372" s="84"/>
      <c r="AA1372" s="84"/>
      <c r="AB1372" s="84"/>
      <c r="AC1372" s="84"/>
      <c r="AD1372" s="84"/>
      <c r="AE1372" s="84"/>
      <c r="AF1372" s="84"/>
      <c r="AG1372" s="84"/>
      <c r="AH1372" s="84"/>
      <c r="AI1372" s="84"/>
      <c r="AL1372" s="84"/>
      <c r="AM1372" s="84"/>
      <c r="AN1372" s="84"/>
      <c r="AO1372" s="84"/>
      <c r="AP1372" s="84"/>
      <c r="AQ1372" s="84"/>
      <c r="AR1372" s="84"/>
      <c r="AS1372" s="84"/>
      <c r="AT1372" s="84"/>
      <c r="AU1372" s="84"/>
      <c r="AV1372" s="84"/>
      <c r="AY1372" s="84"/>
      <c r="AZ1372" s="84"/>
      <c r="BA1372" s="84"/>
      <c r="BB1372" s="84"/>
      <c r="BC1372" s="84"/>
      <c r="BD1372" s="84"/>
      <c r="BE1372" s="84"/>
      <c r="BF1372" s="942"/>
      <c r="BG1372" s="942"/>
      <c r="BH1372" s="942"/>
      <c r="BI1372" s="84"/>
      <c r="BL1372" s="84"/>
      <c r="BM1372" s="84"/>
      <c r="BN1372" s="84"/>
      <c r="BO1372" s="84"/>
      <c r="BP1372" s="84"/>
      <c r="BQ1372" s="84"/>
      <c r="BR1372" s="84"/>
      <c r="BS1372" s="942"/>
      <c r="BT1372" s="942"/>
      <c r="BU1372" s="942"/>
      <c r="BV1372" s="84"/>
    </row>
    <row r="1373" spans="14:74" ht="14.25">
      <c r="N1373" s="84"/>
      <c r="O1373" s="84"/>
      <c r="P1373" s="84"/>
      <c r="Q1373" s="84"/>
      <c r="R1373" s="84"/>
      <c r="S1373" s="84"/>
      <c r="T1373" s="84"/>
      <c r="U1373" s="84"/>
      <c r="V1373" s="84"/>
      <c r="W1373" s="84"/>
      <c r="Y1373" s="84"/>
      <c r="Z1373" s="84"/>
      <c r="AA1373" s="84"/>
      <c r="AB1373" s="84"/>
      <c r="AC1373" s="84"/>
      <c r="AD1373" s="84"/>
      <c r="AE1373" s="84"/>
      <c r="AF1373" s="84"/>
      <c r="AG1373" s="84"/>
      <c r="AH1373" s="84"/>
      <c r="AI1373" s="84"/>
      <c r="AL1373" s="84"/>
      <c r="AM1373" s="84"/>
      <c r="AN1373" s="84"/>
      <c r="AO1373" s="84"/>
      <c r="AP1373" s="84"/>
      <c r="AQ1373" s="84"/>
      <c r="AR1373" s="84"/>
      <c r="AS1373" s="84"/>
      <c r="AT1373" s="84"/>
      <c r="AU1373" s="84"/>
      <c r="AV1373" s="84"/>
      <c r="AY1373" s="84"/>
      <c r="AZ1373" s="84"/>
      <c r="BA1373" s="84"/>
      <c r="BB1373" s="84"/>
      <c r="BC1373" s="84"/>
      <c r="BD1373" s="84"/>
      <c r="BE1373" s="84"/>
      <c r="BF1373" s="942"/>
      <c r="BG1373" s="942"/>
      <c r="BH1373" s="942"/>
      <c r="BI1373" s="84"/>
      <c r="BL1373" s="84"/>
      <c r="BM1373" s="84"/>
      <c r="BN1373" s="84"/>
      <c r="BO1373" s="84"/>
      <c r="BP1373" s="84"/>
      <c r="BQ1373" s="84"/>
      <c r="BR1373" s="84"/>
      <c r="BS1373" s="942"/>
      <c r="BT1373" s="942"/>
      <c r="BU1373" s="942"/>
      <c r="BV1373" s="84"/>
    </row>
    <row r="1374" spans="14:74" ht="14.25">
      <c r="N1374" s="84"/>
      <c r="O1374" s="84"/>
      <c r="P1374" s="84"/>
      <c r="Q1374" s="84"/>
      <c r="R1374" s="84"/>
      <c r="S1374" s="84"/>
      <c r="T1374" s="84"/>
      <c r="U1374" s="84"/>
      <c r="V1374" s="84"/>
      <c r="W1374" s="84"/>
      <c r="Y1374" s="84"/>
      <c r="Z1374" s="84"/>
      <c r="AA1374" s="84"/>
      <c r="AB1374" s="84"/>
      <c r="AC1374" s="84"/>
      <c r="AD1374" s="84"/>
      <c r="AE1374" s="84"/>
      <c r="AF1374" s="84"/>
      <c r="AG1374" s="84"/>
      <c r="AH1374" s="84"/>
      <c r="AI1374" s="84"/>
      <c r="AL1374" s="84"/>
      <c r="AM1374" s="84"/>
      <c r="AN1374" s="84"/>
      <c r="AO1374" s="84"/>
      <c r="AP1374" s="84"/>
      <c r="AQ1374" s="84"/>
      <c r="AR1374" s="84"/>
      <c r="AS1374" s="84"/>
      <c r="AT1374" s="84"/>
      <c r="AU1374" s="84"/>
      <c r="AV1374" s="84"/>
      <c r="AY1374" s="84"/>
      <c r="AZ1374" s="84"/>
      <c r="BA1374" s="84"/>
      <c r="BB1374" s="84"/>
      <c r="BC1374" s="84"/>
      <c r="BD1374" s="84"/>
      <c r="BE1374" s="84"/>
      <c r="BF1374" s="942"/>
      <c r="BG1374" s="942"/>
      <c r="BH1374" s="942"/>
      <c r="BI1374" s="84"/>
      <c r="BL1374" s="84"/>
      <c r="BM1374" s="84"/>
      <c r="BN1374" s="84"/>
      <c r="BO1374" s="84"/>
      <c r="BP1374" s="84"/>
      <c r="BQ1374" s="84"/>
      <c r="BR1374" s="84"/>
      <c r="BS1374" s="942"/>
      <c r="BT1374" s="942"/>
      <c r="BU1374" s="942"/>
      <c r="BV1374" s="84"/>
    </row>
    <row r="1375" spans="14:74" ht="14.25">
      <c r="N1375" s="84"/>
      <c r="O1375" s="84"/>
      <c r="P1375" s="84"/>
      <c r="Q1375" s="84"/>
      <c r="R1375" s="84"/>
      <c r="S1375" s="84"/>
      <c r="T1375" s="84"/>
      <c r="U1375" s="84"/>
      <c r="V1375" s="84"/>
      <c r="W1375" s="84"/>
      <c r="Y1375" s="84"/>
      <c r="Z1375" s="84"/>
      <c r="AA1375" s="84"/>
      <c r="AB1375" s="84"/>
      <c r="AC1375" s="84"/>
      <c r="AD1375" s="84"/>
      <c r="AE1375" s="84"/>
      <c r="AF1375" s="84"/>
      <c r="AG1375" s="84"/>
      <c r="AH1375" s="84"/>
      <c r="AI1375" s="84"/>
      <c r="AL1375" s="84"/>
      <c r="AM1375" s="84"/>
      <c r="AN1375" s="84"/>
      <c r="AO1375" s="84"/>
      <c r="AP1375" s="84"/>
      <c r="AQ1375" s="84"/>
      <c r="AR1375" s="84"/>
      <c r="AS1375" s="84"/>
      <c r="AT1375" s="84"/>
      <c r="AU1375" s="84"/>
      <c r="AV1375" s="84"/>
      <c r="AY1375" s="84"/>
      <c r="AZ1375" s="84"/>
      <c r="BA1375" s="84"/>
      <c r="BB1375" s="84"/>
      <c r="BC1375" s="84"/>
      <c r="BD1375" s="84"/>
      <c r="BE1375" s="84"/>
      <c r="BF1375" s="942"/>
      <c r="BG1375" s="942"/>
      <c r="BH1375" s="942"/>
      <c r="BI1375" s="84"/>
      <c r="BL1375" s="84"/>
      <c r="BM1375" s="84"/>
      <c r="BN1375" s="84"/>
      <c r="BO1375" s="84"/>
      <c r="BP1375" s="84"/>
      <c r="BQ1375" s="84"/>
      <c r="BR1375" s="84"/>
      <c r="BS1375" s="942"/>
      <c r="BT1375" s="942"/>
      <c r="BU1375" s="942"/>
      <c r="BV1375" s="84"/>
    </row>
    <row r="1376" spans="14:74" ht="14.25">
      <c r="N1376" s="84"/>
      <c r="O1376" s="84"/>
      <c r="P1376" s="84"/>
      <c r="Q1376" s="84"/>
      <c r="R1376" s="84"/>
      <c r="S1376" s="84"/>
      <c r="T1376" s="84"/>
      <c r="U1376" s="84"/>
      <c r="V1376" s="84"/>
      <c r="W1376" s="84"/>
      <c r="Y1376" s="84"/>
      <c r="Z1376" s="84"/>
      <c r="AA1376" s="84"/>
      <c r="AB1376" s="84"/>
      <c r="AC1376" s="84"/>
      <c r="AD1376" s="84"/>
      <c r="AE1376" s="84"/>
      <c r="AF1376" s="84"/>
      <c r="AG1376" s="84"/>
      <c r="AH1376" s="84"/>
      <c r="AI1376" s="84"/>
      <c r="AL1376" s="84"/>
      <c r="AM1376" s="84"/>
      <c r="AN1376" s="84"/>
      <c r="AO1376" s="84"/>
      <c r="AP1376" s="84"/>
      <c r="AQ1376" s="84"/>
      <c r="AR1376" s="84"/>
      <c r="AS1376" s="84"/>
      <c r="AT1376" s="84"/>
      <c r="AU1376" s="84"/>
      <c r="AV1376" s="84"/>
      <c r="AY1376" s="84"/>
      <c r="AZ1376" s="84"/>
      <c r="BA1376" s="84"/>
      <c r="BB1376" s="84"/>
      <c r="BC1376" s="84"/>
      <c r="BD1376" s="84"/>
      <c r="BE1376" s="84"/>
      <c r="BF1376" s="942"/>
      <c r="BG1376" s="942"/>
      <c r="BH1376" s="942"/>
      <c r="BI1376" s="84"/>
      <c r="BL1376" s="84"/>
      <c r="BM1376" s="84"/>
      <c r="BN1376" s="84"/>
      <c r="BO1376" s="84"/>
      <c r="BP1376" s="84"/>
      <c r="BQ1376" s="84"/>
      <c r="BR1376" s="84"/>
      <c r="BS1376" s="942"/>
      <c r="BT1376" s="942"/>
      <c r="BU1376" s="942"/>
      <c r="BV1376" s="84"/>
    </row>
    <row r="1377" spans="14:74" ht="14.25">
      <c r="N1377" s="84"/>
      <c r="O1377" s="84"/>
      <c r="P1377" s="84"/>
      <c r="Q1377" s="84"/>
      <c r="R1377" s="84"/>
      <c r="S1377" s="84"/>
      <c r="T1377" s="84"/>
      <c r="U1377" s="84"/>
      <c r="V1377" s="84"/>
      <c r="W1377" s="84"/>
      <c r="Y1377" s="84"/>
      <c r="Z1377" s="84"/>
      <c r="AA1377" s="84"/>
      <c r="AB1377" s="84"/>
      <c r="AC1377" s="84"/>
      <c r="AD1377" s="84"/>
      <c r="AE1377" s="84"/>
      <c r="AF1377" s="84"/>
      <c r="AG1377" s="84"/>
      <c r="AH1377" s="84"/>
      <c r="AI1377" s="84"/>
      <c r="AL1377" s="84"/>
      <c r="AM1377" s="84"/>
      <c r="AN1377" s="84"/>
      <c r="AO1377" s="84"/>
      <c r="AP1377" s="84"/>
      <c r="AQ1377" s="84"/>
      <c r="AR1377" s="84"/>
      <c r="AS1377" s="84"/>
      <c r="AT1377" s="84"/>
      <c r="AU1377" s="84"/>
      <c r="AV1377" s="84"/>
      <c r="AY1377" s="84"/>
      <c r="AZ1377" s="84"/>
      <c r="BA1377" s="84"/>
      <c r="BB1377" s="84"/>
      <c r="BC1377" s="84"/>
      <c r="BD1377" s="84"/>
      <c r="BE1377" s="84"/>
      <c r="BF1377" s="942"/>
      <c r="BG1377" s="942"/>
      <c r="BH1377" s="942"/>
      <c r="BI1377" s="84"/>
      <c r="BL1377" s="84"/>
      <c r="BM1377" s="84"/>
      <c r="BN1377" s="84"/>
      <c r="BO1377" s="84"/>
      <c r="BP1377" s="84"/>
      <c r="BQ1377" s="84"/>
      <c r="BR1377" s="84"/>
      <c r="BS1377" s="942"/>
      <c r="BT1377" s="942"/>
      <c r="BU1377" s="942"/>
      <c r="BV1377" s="84"/>
    </row>
    <row r="1378" spans="14:74" ht="14.25">
      <c r="N1378" s="84"/>
      <c r="O1378" s="84"/>
      <c r="P1378" s="84"/>
      <c r="Q1378" s="84"/>
      <c r="R1378" s="84"/>
      <c r="S1378" s="84"/>
      <c r="T1378" s="84"/>
      <c r="U1378" s="84"/>
      <c r="V1378" s="84"/>
      <c r="W1378" s="84"/>
      <c r="Y1378" s="84"/>
      <c r="Z1378" s="84"/>
      <c r="AA1378" s="84"/>
      <c r="AB1378" s="84"/>
      <c r="AC1378" s="84"/>
      <c r="AD1378" s="84"/>
      <c r="AE1378" s="84"/>
      <c r="AF1378" s="84"/>
      <c r="AG1378" s="84"/>
      <c r="AH1378" s="84"/>
      <c r="AI1378" s="84"/>
      <c r="AL1378" s="84"/>
      <c r="AM1378" s="84"/>
      <c r="AN1378" s="84"/>
      <c r="AO1378" s="84"/>
      <c r="AP1378" s="84"/>
      <c r="AQ1378" s="84"/>
      <c r="AR1378" s="84"/>
      <c r="AS1378" s="84"/>
      <c r="AT1378" s="84"/>
      <c r="AU1378" s="84"/>
      <c r="AV1378" s="84"/>
      <c r="AY1378" s="84"/>
      <c r="AZ1378" s="84"/>
      <c r="BA1378" s="84"/>
      <c r="BB1378" s="84"/>
      <c r="BC1378" s="84"/>
      <c r="BD1378" s="84"/>
      <c r="BE1378" s="84"/>
      <c r="BF1378" s="942"/>
      <c r="BG1378" s="942"/>
      <c r="BH1378" s="942"/>
      <c r="BI1378" s="84"/>
      <c r="BL1378" s="84"/>
      <c r="BM1378" s="84"/>
      <c r="BN1378" s="84"/>
      <c r="BO1378" s="84"/>
      <c r="BP1378" s="84"/>
      <c r="BQ1378" s="84"/>
      <c r="BR1378" s="84"/>
      <c r="BS1378" s="942"/>
      <c r="BT1378" s="942"/>
      <c r="BU1378" s="942"/>
      <c r="BV1378" s="84"/>
    </row>
    <row r="1379" spans="14:74" ht="14.25">
      <c r="N1379" s="84"/>
      <c r="O1379" s="84"/>
      <c r="P1379" s="84"/>
      <c r="Q1379" s="84"/>
      <c r="R1379" s="84"/>
      <c r="S1379" s="84"/>
      <c r="T1379" s="84"/>
      <c r="U1379" s="84"/>
      <c r="V1379" s="84"/>
      <c r="W1379" s="84"/>
      <c r="Y1379" s="84"/>
      <c r="Z1379" s="84"/>
      <c r="AA1379" s="84"/>
      <c r="AB1379" s="84"/>
      <c r="AC1379" s="84"/>
      <c r="AD1379" s="84"/>
      <c r="AE1379" s="84"/>
      <c r="AF1379" s="84"/>
      <c r="AG1379" s="84"/>
      <c r="AH1379" s="84"/>
      <c r="AI1379" s="84"/>
      <c r="AL1379" s="84"/>
      <c r="AM1379" s="84"/>
      <c r="AN1379" s="84"/>
      <c r="AO1379" s="84"/>
      <c r="AP1379" s="84"/>
      <c r="AQ1379" s="84"/>
      <c r="AR1379" s="84"/>
      <c r="AS1379" s="84"/>
      <c r="AT1379" s="84"/>
      <c r="AU1379" s="84"/>
      <c r="AV1379" s="84"/>
      <c r="AY1379" s="84"/>
      <c r="AZ1379" s="84"/>
      <c r="BA1379" s="84"/>
      <c r="BB1379" s="84"/>
      <c r="BC1379" s="84"/>
      <c r="BD1379" s="84"/>
      <c r="BE1379" s="84"/>
      <c r="BF1379" s="942"/>
      <c r="BG1379" s="942"/>
      <c r="BH1379" s="942"/>
      <c r="BI1379" s="84"/>
      <c r="BL1379" s="84"/>
      <c r="BM1379" s="84"/>
      <c r="BN1379" s="84"/>
      <c r="BO1379" s="84"/>
      <c r="BP1379" s="84"/>
      <c r="BQ1379" s="84"/>
      <c r="BR1379" s="84"/>
      <c r="BS1379" s="942"/>
      <c r="BT1379" s="942"/>
      <c r="BU1379" s="942"/>
      <c r="BV1379" s="84"/>
    </row>
    <row r="1380" spans="14:74" ht="14.25">
      <c r="N1380" s="84"/>
      <c r="O1380" s="84"/>
      <c r="P1380" s="84"/>
      <c r="Q1380" s="84"/>
      <c r="R1380" s="84"/>
      <c r="S1380" s="84"/>
      <c r="T1380" s="84"/>
      <c r="U1380" s="84"/>
      <c r="V1380" s="84"/>
      <c r="W1380" s="84"/>
      <c r="Y1380" s="84"/>
      <c r="Z1380" s="84"/>
      <c r="AA1380" s="84"/>
      <c r="AB1380" s="84"/>
      <c r="AC1380" s="84"/>
      <c r="AD1380" s="84"/>
      <c r="AE1380" s="84"/>
      <c r="AF1380" s="84"/>
      <c r="AG1380" s="84"/>
      <c r="AH1380" s="84"/>
      <c r="AI1380" s="84"/>
      <c r="AL1380" s="84"/>
      <c r="AM1380" s="84"/>
      <c r="AN1380" s="84"/>
      <c r="AO1380" s="84"/>
      <c r="AP1380" s="84"/>
      <c r="AQ1380" s="84"/>
      <c r="AR1380" s="84"/>
      <c r="AS1380" s="84"/>
      <c r="AT1380" s="84"/>
      <c r="AU1380" s="84"/>
      <c r="AV1380" s="84"/>
      <c r="AY1380" s="84"/>
      <c r="AZ1380" s="84"/>
      <c r="BA1380" s="84"/>
      <c r="BB1380" s="84"/>
      <c r="BC1380" s="84"/>
      <c r="BD1380" s="84"/>
      <c r="BE1380" s="84"/>
      <c r="BF1380" s="942"/>
      <c r="BG1380" s="942"/>
      <c r="BH1380" s="942"/>
      <c r="BI1380" s="84"/>
      <c r="BL1380" s="84"/>
      <c r="BM1380" s="84"/>
      <c r="BN1380" s="84"/>
      <c r="BO1380" s="84"/>
      <c r="BP1380" s="84"/>
      <c r="BQ1380" s="84"/>
      <c r="BR1380" s="84"/>
      <c r="BS1380" s="942"/>
      <c r="BT1380" s="942"/>
      <c r="BU1380" s="942"/>
      <c r="BV1380" s="84"/>
    </row>
    <row r="1381" spans="14:74" ht="14.25">
      <c r="N1381" s="84"/>
      <c r="O1381" s="84"/>
      <c r="P1381" s="84"/>
      <c r="Q1381" s="84"/>
      <c r="R1381" s="84"/>
      <c r="S1381" s="84"/>
      <c r="T1381" s="84"/>
      <c r="U1381" s="84"/>
      <c r="V1381" s="84"/>
      <c r="W1381" s="84"/>
      <c r="Y1381" s="84"/>
      <c r="Z1381" s="84"/>
      <c r="AA1381" s="84"/>
      <c r="AB1381" s="84"/>
      <c r="AC1381" s="84"/>
      <c r="AD1381" s="84"/>
      <c r="AE1381" s="84"/>
      <c r="AF1381" s="84"/>
      <c r="AG1381" s="84"/>
      <c r="AH1381" s="84"/>
      <c r="AI1381" s="84"/>
      <c r="AL1381" s="84"/>
      <c r="AM1381" s="84"/>
      <c r="AN1381" s="84"/>
      <c r="AO1381" s="84"/>
      <c r="AP1381" s="84"/>
      <c r="AQ1381" s="84"/>
      <c r="AR1381" s="84"/>
      <c r="AS1381" s="84"/>
      <c r="AT1381" s="84"/>
      <c r="AU1381" s="84"/>
      <c r="AV1381" s="84"/>
      <c r="AY1381" s="84"/>
      <c r="AZ1381" s="84"/>
      <c r="BA1381" s="84"/>
      <c r="BB1381" s="84"/>
      <c r="BC1381" s="84"/>
      <c r="BD1381" s="84"/>
      <c r="BE1381" s="84"/>
      <c r="BF1381" s="942"/>
      <c r="BG1381" s="942"/>
      <c r="BH1381" s="942"/>
      <c r="BI1381" s="84"/>
      <c r="BL1381" s="84"/>
      <c r="BM1381" s="84"/>
      <c r="BN1381" s="84"/>
      <c r="BO1381" s="84"/>
      <c r="BP1381" s="84"/>
      <c r="BQ1381" s="84"/>
      <c r="BR1381" s="84"/>
      <c r="BS1381" s="942"/>
      <c r="BT1381" s="942"/>
      <c r="BU1381" s="942"/>
      <c r="BV1381" s="84"/>
    </row>
    <row r="1382" spans="14:74" ht="14.25">
      <c r="N1382" s="84"/>
      <c r="O1382" s="84"/>
      <c r="P1382" s="84"/>
      <c r="Q1382" s="84"/>
      <c r="R1382" s="84"/>
      <c r="S1382" s="84"/>
      <c r="T1382" s="84"/>
      <c r="U1382" s="84"/>
      <c r="V1382" s="84"/>
      <c r="W1382" s="84"/>
      <c r="Y1382" s="84"/>
      <c r="Z1382" s="84"/>
      <c r="AA1382" s="84"/>
      <c r="AB1382" s="84"/>
      <c r="AC1382" s="84"/>
      <c r="AD1382" s="84"/>
      <c r="AE1382" s="84"/>
      <c r="AF1382" s="84"/>
      <c r="AG1382" s="84"/>
      <c r="AH1382" s="84"/>
      <c r="AI1382" s="84"/>
      <c r="AL1382" s="84"/>
      <c r="AM1382" s="84"/>
      <c r="AN1382" s="84"/>
      <c r="AO1382" s="84"/>
      <c r="AP1382" s="84"/>
      <c r="AQ1382" s="84"/>
      <c r="AR1382" s="84"/>
      <c r="AS1382" s="84"/>
      <c r="AT1382" s="84"/>
      <c r="AU1382" s="84"/>
      <c r="AV1382" s="84"/>
      <c r="AY1382" s="84"/>
      <c r="AZ1382" s="84"/>
      <c r="BA1382" s="84"/>
      <c r="BB1382" s="84"/>
      <c r="BC1382" s="84"/>
      <c r="BD1382" s="84"/>
      <c r="BE1382" s="84"/>
      <c r="BF1382" s="942"/>
      <c r="BG1382" s="942"/>
      <c r="BH1382" s="942"/>
      <c r="BI1382" s="84"/>
      <c r="BL1382" s="84"/>
      <c r="BM1382" s="84"/>
      <c r="BN1382" s="84"/>
      <c r="BO1382" s="84"/>
      <c r="BP1382" s="84"/>
      <c r="BQ1382" s="84"/>
      <c r="BR1382" s="84"/>
      <c r="BS1382" s="942"/>
      <c r="BT1382" s="942"/>
      <c r="BU1382" s="942"/>
      <c r="BV1382" s="84"/>
    </row>
    <row r="1383" spans="14:74" ht="14.25">
      <c r="N1383" s="84"/>
      <c r="O1383" s="84"/>
      <c r="P1383" s="84"/>
      <c r="Q1383" s="84"/>
      <c r="R1383" s="84"/>
      <c r="S1383" s="84"/>
      <c r="T1383" s="84"/>
      <c r="U1383" s="84"/>
      <c r="V1383" s="84"/>
      <c r="W1383" s="84"/>
      <c r="Y1383" s="84"/>
      <c r="Z1383" s="84"/>
      <c r="AA1383" s="84"/>
      <c r="AB1383" s="84"/>
      <c r="AC1383" s="84"/>
      <c r="AD1383" s="84"/>
      <c r="AE1383" s="84"/>
      <c r="AF1383" s="84"/>
      <c r="AG1383" s="84"/>
      <c r="AH1383" s="84"/>
      <c r="AI1383" s="84"/>
      <c r="AL1383" s="84"/>
      <c r="AM1383" s="84"/>
      <c r="AN1383" s="84"/>
      <c r="AO1383" s="84"/>
      <c r="AP1383" s="84"/>
      <c r="AQ1383" s="84"/>
      <c r="AR1383" s="84"/>
      <c r="AS1383" s="84"/>
      <c r="AT1383" s="84"/>
      <c r="AU1383" s="84"/>
      <c r="AV1383" s="84"/>
      <c r="AY1383" s="84"/>
      <c r="AZ1383" s="84"/>
      <c r="BA1383" s="84"/>
      <c r="BB1383" s="84"/>
      <c r="BC1383" s="84"/>
      <c r="BD1383" s="84"/>
      <c r="BE1383" s="84"/>
      <c r="BF1383" s="942"/>
      <c r="BG1383" s="942"/>
      <c r="BH1383" s="942"/>
      <c r="BI1383" s="84"/>
      <c r="BL1383" s="84"/>
      <c r="BM1383" s="84"/>
      <c r="BN1383" s="84"/>
      <c r="BO1383" s="84"/>
      <c r="BP1383" s="84"/>
      <c r="BQ1383" s="84"/>
      <c r="BR1383" s="84"/>
      <c r="BS1383" s="942"/>
      <c r="BT1383" s="942"/>
      <c r="BU1383" s="942"/>
      <c r="BV1383" s="84"/>
    </row>
    <row r="1384" spans="14:74" ht="14.25">
      <c r="N1384" s="84"/>
      <c r="O1384" s="84"/>
      <c r="P1384" s="84"/>
      <c r="Q1384" s="84"/>
      <c r="R1384" s="84"/>
      <c r="S1384" s="84"/>
      <c r="T1384" s="84"/>
      <c r="U1384" s="84"/>
      <c r="V1384" s="84"/>
      <c r="W1384" s="84"/>
      <c r="Y1384" s="84"/>
      <c r="Z1384" s="84"/>
      <c r="AA1384" s="84"/>
      <c r="AB1384" s="84"/>
      <c r="AC1384" s="84"/>
      <c r="AD1384" s="84"/>
      <c r="AE1384" s="84"/>
      <c r="AF1384" s="84"/>
      <c r="AG1384" s="84"/>
      <c r="AH1384" s="84"/>
      <c r="AI1384" s="84"/>
      <c r="AL1384" s="84"/>
      <c r="AM1384" s="84"/>
      <c r="AN1384" s="84"/>
      <c r="AO1384" s="84"/>
      <c r="AP1384" s="84"/>
      <c r="AQ1384" s="84"/>
      <c r="AR1384" s="84"/>
      <c r="AS1384" s="84"/>
      <c r="AT1384" s="84"/>
      <c r="AU1384" s="84"/>
      <c r="AV1384" s="84"/>
      <c r="AY1384" s="84"/>
      <c r="AZ1384" s="84"/>
      <c r="BA1384" s="84"/>
      <c r="BB1384" s="84"/>
      <c r="BC1384" s="84"/>
      <c r="BD1384" s="84"/>
      <c r="BE1384" s="84"/>
      <c r="BF1384" s="942"/>
      <c r="BG1384" s="942"/>
      <c r="BH1384" s="942"/>
      <c r="BI1384" s="84"/>
      <c r="BL1384" s="84"/>
      <c r="BM1384" s="84"/>
      <c r="BN1384" s="84"/>
      <c r="BO1384" s="84"/>
      <c r="BP1384" s="84"/>
      <c r="BQ1384" s="84"/>
      <c r="BR1384" s="84"/>
      <c r="BS1384" s="942"/>
      <c r="BT1384" s="942"/>
      <c r="BU1384" s="942"/>
      <c r="BV1384" s="84"/>
    </row>
    <row r="1385" spans="14:74" ht="14.25">
      <c r="N1385" s="84"/>
      <c r="O1385" s="84"/>
      <c r="P1385" s="84"/>
      <c r="Q1385" s="84"/>
      <c r="R1385" s="84"/>
      <c r="S1385" s="84"/>
      <c r="T1385" s="84"/>
      <c r="U1385" s="84"/>
      <c r="V1385" s="84"/>
      <c r="W1385" s="84"/>
      <c r="Y1385" s="84"/>
      <c r="Z1385" s="84"/>
      <c r="AA1385" s="84"/>
      <c r="AB1385" s="84"/>
      <c r="AC1385" s="84"/>
      <c r="AD1385" s="84"/>
      <c r="AE1385" s="84"/>
      <c r="AF1385" s="84"/>
      <c r="AG1385" s="84"/>
      <c r="AH1385" s="84"/>
      <c r="AI1385" s="84"/>
      <c r="AL1385" s="84"/>
      <c r="AM1385" s="84"/>
      <c r="AN1385" s="84"/>
      <c r="AO1385" s="84"/>
      <c r="AP1385" s="84"/>
      <c r="AQ1385" s="84"/>
      <c r="AR1385" s="84"/>
      <c r="AS1385" s="84"/>
      <c r="AT1385" s="84"/>
      <c r="AU1385" s="84"/>
      <c r="AV1385" s="84"/>
      <c r="AY1385" s="84"/>
      <c r="AZ1385" s="84"/>
      <c r="BA1385" s="84"/>
      <c r="BB1385" s="84"/>
      <c r="BC1385" s="84"/>
      <c r="BD1385" s="84"/>
      <c r="BE1385" s="84"/>
      <c r="BF1385" s="942"/>
      <c r="BG1385" s="942"/>
      <c r="BH1385" s="942"/>
      <c r="BI1385" s="84"/>
      <c r="BL1385" s="84"/>
      <c r="BM1385" s="84"/>
      <c r="BN1385" s="84"/>
      <c r="BO1385" s="84"/>
      <c r="BP1385" s="84"/>
      <c r="BQ1385" s="84"/>
      <c r="BR1385" s="84"/>
      <c r="BS1385" s="942"/>
      <c r="BT1385" s="942"/>
      <c r="BU1385" s="942"/>
      <c r="BV1385" s="84"/>
    </row>
    <row r="1386" spans="14:74" ht="14.25">
      <c r="N1386" s="84"/>
      <c r="O1386" s="84"/>
      <c r="P1386" s="84"/>
      <c r="Q1386" s="84"/>
      <c r="R1386" s="84"/>
      <c r="S1386" s="84"/>
      <c r="T1386" s="84"/>
      <c r="U1386" s="84"/>
      <c r="V1386" s="84"/>
      <c r="W1386" s="84"/>
      <c r="Y1386" s="84"/>
      <c r="Z1386" s="84"/>
      <c r="AA1386" s="84"/>
      <c r="AB1386" s="84"/>
      <c r="AC1386" s="84"/>
      <c r="AD1386" s="84"/>
      <c r="AE1386" s="84"/>
      <c r="AF1386" s="84"/>
      <c r="AG1386" s="84"/>
      <c r="AH1386" s="84"/>
      <c r="AI1386" s="84"/>
      <c r="AL1386" s="84"/>
      <c r="AM1386" s="84"/>
      <c r="AN1386" s="84"/>
      <c r="AO1386" s="84"/>
      <c r="AP1386" s="84"/>
      <c r="AQ1386" s="84"/>
      <c r="AR1386" s="84"/>
      <c r="AS1386" s="84"/>
      <c r="AT1386" s="84"/>
      <c r="AU1386" s="84"/>
      <c r="AV1386" s="84"/>
      <c r="AY1386" s="84"/>
      <c r="AZ1386" s="84"/>
      <c r="BA1386" s="84"/>
      <c r="BB1386" s="84"/>
      <c r="BC1386" s="84"/>
      <c r="BD1386" s="84"/>
      <c r="BE1386" s="84"/>
      <c r="BF1386" s="942"/>
      <c r="BG1386" s="942"/>
      <c r="BH1386" s="942"/>
      <c r="BI1386" s="84"/>
      <c r="BL1386" s="84"/>
      <c r="BM1386" s="84"/>
      <c r="BN1386" s="84"/>
      <c r="BO1386" s="84"/>
      <c r="BP1386" s="84"/>
      <c r="BQ1386" s="84"/>
      <c r="BR1386" s="84"/>
      <c r="BS1386" s="942"/>
      <c r="BT1386" s="942"/>
      <c r="BU1386" s="942"/>
      <c r="BV1386" s="84"/>
    </row>
    <row r="1387" spans="14:74" ht="14.25">
      <c r="N1387" s="84"/>
      <c r="O1387" s="84"/>
      <c r="P1387" s="84"/>
      <c r="Q1387" s="84"/>
      <c r="R1387" s="84"/>
      <c r="S1387" s="84"/>
      <c r="T1387" s="84"/>
      <c r="U1387" s="84"/>
      <c r="V1387" s="84"/>
      <c r="W1387" s="84"/>
      <c r="Y1387" s="84"/>
      <c r="Z1387" s="84"/>
      <c r="AA1387" s="84"/>
      <c r="AB1387" s="84"/>
      <c r="AC1387" s="84"/>
      <c r="AD1387" s="84"/>
      <c r="AE1387" s="84"/>
      <c r="AF1387" s="84"/>
      <c r="AG1387" s="84"/>
      <c r="AH1387" s="84"/>
      <c r="AI1387" s="84"/>
      <c r="AL1387" s="84"/>
      <c r="AM1387" s="84"/>
      <c r="AN1387" s="84"/>
      <c r="AO1387" s="84"/>
      <c r="AP1387" s="84"/>
      <c r="AQ1387" s="84"/>
      <c r="AR1387" s="84"/>
      <c r="AS1387" s="84"/>
      <c r="AT1387" s="84"/>
      <c r="AU1387" s="84"/>
      <c r="AV1387" s="84"/>
      <c r="AY1387" s="84"/>
      <c r="AZ1387" s="84"/>
      <c r="BA1387" s="84"/>
      <c r="BB1387" s="84"/>
      <c r="BC1387" s="84"/>
      <c r="BD1387" s="84"/>
      <c r="BE1387" s="84"/>
      <c r="BF1387" s="942"/>
      <c r="BG1387" s="942"/>
      <c r="BH1387" s="942"/>
      <c r="BI1387" s="84"/>
      <c r="BL1387" s="84"/>
      <c r="BM1387" s="84"/>
      <c r="BN1387" s="84"/>
      <c r="BO1387" s="84"/>
      <c r="BP1387" s="84"/>
      <c r="BQ1387" s="84"/>
      <c r="BR1387" s="84"/>
      <c r="BS1387" s="942"/>
      <c r="BT1387" s="942"/>
      <c r="BU1387" s="942"/>
      <c r="BV1387" s="84"/>
    </row>
    <row r="1388" spans="14:74" ht="14.25">
      <c r="N1388" s="84"/>
      <c r="O1388" s="84"/>
      <c r="P1388" s="84"/>
      <c r="Q1388" s="84"/>
      <c r="R1388" s="84"/>
      <c r="S1388" s="84"/>
      <c r="T1388" s="84"/>
      <c r="U1388" s="84"/>
      <c r="V1388" s="84"/>
      <c r="W1388" s="84"/>
      <c r="Y1388" s="84"/>
      <c r="Z1388" s="84"/>
      <c r="AA1388" s="84"/>
      <c r="AB1388" s="84"/>
      <c r="AC1388" s="84"/>
      <c r="AD1388" s="84"/>
      <c r="AE1388" s="84"/>
      <c r="AF1388" s="84"/>
      <c r="AG1388" s="84"/>
      <c r="AH1388" s="84"/>
      <c r="AI1388" s="84"/>
      <c r="AL1388" s="84"/>
      <c r="AM1388" s="84"/>
      <c r="AN1388" s="84"/>
      <c r="AO1388" s="84"/>
      <c r="AP1388" s="84"/>
      <c r="AQ1388" s="84"/>
      <c r="AR1388" s="84"/>
      <c r="AS1388" s="84"/>
      <c r="AT1388" s="84"/>
      <c r="AU1388" s="84"/>
      <c r="AV1388" s="84"/>
      <c r="AY1388" s="84"/>
      <c r="AZ1388" s="84"/>
      <c r="BA1388" s="84"/>
      <c r="BB1388" s="84"/>
      <c r="BC1388" s="84"/>
      <c r="BD1388" s="84"/>
      <c r="BE1388" s="84"/>
      <c r="BF1388" s="942"/>
      <c r="BG1388" s="942"/>
      <c r="BH1388" s="942"/>
      <c r="BI1388" s="84"/>
      <c r="BL1388" s="84"/>
      <c r="BM1388" s="84"/>
      <c r="BN1388" s="84"/>
      <c r="BO1388" s="84"/>
      <c r="BP1388" s="84"/>
      <c r="BQ1388" s="84"/>
      <c r="BR1388" s="84"/>
      <c r="BS1388" s="942"/>
      <c r="BT1388" s="942"/>
      <c r="BU1388" s="942"/>
      <c r="BV1388" s="84"/>
    </row>
    <row r="1389" spans="14:74" ht="14.25">
      <c r="N1389" s="84"/>
      <c r="O1389" s="84"/>
      <c r="P1389" s="84"/>
      <c r="Q1389" s="84"/>
      <c r="R1389" s="84"/>
      <c r="S1389" s="84"/>
      <c r="T1389" s="84"/>
      <c r="U1389" s="84"/>
      <c r="V1389" s="84"/>
      <c r="W1389" s="84"/>
      <c r="Y1389" s="84"/>
      <c r="Z1389" s="84"/>
      <c r="AA1389" s="84"/>
      <c r="AB1389" s="84"/>
      <c r="AC1389" s="84"/>
      <c r="AD1389" s="84"/>
      <c r="AE1389" s="84"/>
      <c r="AF1389" s="84"/>
      <c r="AG1389" s="84"/>
      <c r="AH1389" s="84"/>
      <c r="AI1389" s="84"/>
      <c r="AL1389" s="84"/>
      <c r="AM1389" s="84"/>
      <c r="AN1389" s="84"/>
      <c r="AO1389" s="84"/>
      <c r="AP1389" s="84"/>
      <c r="AQ1389" s="84"/>
      <c r="AR1389" s="84"/>
      <c r="AS1389" s="84"/>
      <c r="AT1389" s="84"/>
      <c r="AU1389" s="84"/>
      <c r="AV1389" s="84"/>
      <c r="AY1389" s="84"/>
      <c r="AZ1389" s="84"/>
      <c r="BA1389" s="84"/>
      <c r="BB1389" s="84"/>
      <c r="BC1389" s="84"/>
      <c r="BD1389" s="84"/>
      <c r="BE1389" s="84"/>
      <c r="BF1389" s="942"/>
      <c r="BG1389" s="942"/>
      <c r="BH1389" s="942"/>
      <c r="BI1389" s="84"/>
      <c r="BL1389" s="84"/>
      <c r="BM1389" s="84"/>
      <c r="BN1389" s="84"/>
      <c r="BO1389" s="84"/>
      <c r="BP1389" s="84"/>
      <c r="BQ1389" s="84"/>
      <c r="BR1389" s="84"/>
      <c r="BS1389" s="942"/>
      <c r="BT1389" s="942"/>
      <c r="BU1389" s="942"/>
      <c r="BV1389" s="84"/>
    </row>
    <row r="1390" spans="14:74" ht="14.25">
      <c r="N1390" s="84"/>
      <c r="O1390" s="84"/>
      <c r="P1390" s="84"/>
      <c r="Q1390" s="84"/>
      <c r="R1390" s="84"/>
      <c r="S1390" s="84"/>
      <c r="T1390" s="84"/>
      <c r="U1390" s="84"/>
      <c r="V1390" s="84"/>
      <c r="W1390" s="84"/>
      <c r="Y1390" s="84"/>
      <c r="Z1390" s="84"/>
      <c r="AA1390" s="84"/>
      <c r="AB1390" s="84"/>
      <c r="AC1390" s="84"/>
      <c r="AD1390" s="84"/>
      <c r="AE1390" s="84"/>
      <c r="AF1390" s="84"/>
      <c r="AG1390" s="84"/>
      <c r="AH1390" s="84"/>
      <c r="AI1390" s="84"/>
      <c r="AL1390" s="84"/>
      <c r="AM1390" s="84"/>
      <c r="AN1390" s="84"/>
      <c r="AO1390" s="84"/>
      <c r="AP1390" s="84"/>
      <c r="AQ1390" s="84"/>
      <c r="AR1390" s="84"/>
      <c r="AS1390" s="84"/>
      <c r="AT1390" s="84"/>
      <c r="AU1390" s="84"/>
      <c r="AV1390" s="84"/>
      <c r="AY1390" s="84"/>
      <c r="AZ1390" s="84"/>
      <c r="BA1390" s="84"/>
      <c r="BB1390" s="84"/>
      <c r="BC1390" s="84"/>
      <c r="BD1390" s="84"/>
      <c r="BE1390" s="84"/>
      <c r="BF1390" s="942"/>
      <c r="BG1390" s="942"/>
      <c r="BH1390" s="942"/>
      <c r="BI1390" s="84"/>
      <c r="BL1390" s="84"/>
      <c r="BM1390" s="84"/>
      <c r="BN1390" s="84"/>
      <c r="BO1390" s="84"/>
      <c r="BP1390" s="84"/>
      <c r="BQ1390" s="84"/>
      <c r="BR1390" s="84"/>
      <c r="BS1390" s="942"/>
      <c r="BT1390" s="942"/>
      <c r="BU1390" s="942"/>
      <c r="BV1390" s="84"/>
    </row>
    <row r="1391" spans="14:74" ht="14.25">
      <c r="N1391" s="84"/>
      <c r="O1391" s="84"/>
      <c r="P1391" s="84"/>
      <c r="Q1391" s="84"/>
      <c r="R1391" s="84"/>
      <c r="S1391" s="84"/>
      <c r="T1391" s="84"/>
      <c r="U1391" s="84"/>
      <c r="V1391" s="84"/>
      <c r="W1391" s="84"/>
      <c r="Y1391" s="84"/>
      <c r="Z1391" s="84"/>
      <c r="AA1391" s="84"/>
      <c r="AB1391" s="84"/>
      <c r="AC1391" s="84"/>
      <c r="AD1391" s="84"/>
      <c r="AE1391" s="84"/>
      <c r="AF1391" s="84"/>
      <c r="AG1391" s="84"/>
      <c r="AH1391" s="84"/>
      <c r="AI1391" s="84"/>
      <c r="AL1391" s="84"/>
      <c r="AM1391" s="84"/>
      <c r="AN1391" s="84"/>
      <c r="AO1391" s="84"/>
      <c r="AP1391" s="84"/>
      <c r="AQ1391" s="84"/>
      <c r="AR1391" s="84"/>
      <c r="AS1391" s="84"/>
      <c r="AT1391" s="84"/>
      <c r="AU1391" s="84"/>
      <c r="AV1391" s="84"/>
      <c r="AY1391" s="84"/>
      <c r="AZ1391" s="84"/>
      <c r="BA1391" s="84"/>
      <c r="BB1391" s="84"/>
      <c r="BC1391" s="84"/>
      <c r="BD1391" s="84"/>
      <c r="BE1391" s="84"/>
      <c r="BF1391" s="942"/>
      <c r="BG1391" s="942"/>
      <c r="BH1391" s="942"/>
      <c r="BI1391" s="84"/>
      <c r="BL1391" s="84"/>
      <c r="BM1391" s="84"/>
      <c r="BN1391" s="84"/>
      <c r="BO1391" s="84"/>
      <c r="BP1391" s="84"/>
      <c r="BQ1391" s="84"/>
      <c r="BR1391" s="84"/>
      <c r="BS1391" s="942"/>
      <c r="BT1391" s="942"/>
      <c r="BU1391" s="942"/>
      <c r="BV1391" s="84"/>
    </row>
    <row r="1392" spans="14:74" ht="14.25">
      <c r="N1392" s="84"/>
      <c r="O1392" s="84"/>
      <c r="P1392" s="84"/>
      <c r="Q1392" s="84"/>
      <c r="R1392" s="84"/>
      <c r="S1392" s="84"/>
      <c r="T1392" s="84"/>
      <c r="U1392" s="84"/>
      <c r="V1392" s="84"/>
      <c r="W1392" s="84"/>
      <c r="Y1392" s="84"/>
      <c r="Z1392" s="84"/>
      <c r="AA1392" s="84"/>
      <c r="AB1392" s="84"/>
      <c r="AC1392" s="84"/>
      <c r="AD1392" s="84"/>
      <c r="AE1392" s="84"/>
      <c r="AF1392" s="84"/>
      <c r="AG1392" s="84"/>
      <c r="AH1392" s="84"/>
      <c r="AI1392" s="84"/>
      <c r="AL1392" s="84"/>
      <c r="AM1392" s="84"/>
      <c r="AN1392" s="84"/>
      <c r="AO1392" s="84"/>
      <c r="AP1392" s="84"/>
      <c r="AQ1392" s="84"/>
      <c r="AR1392" s="84"/>
      <c r="AS1392" s="84"/>
      <c r="AT1392" s="84"/>
      <c r="AU1392" s="84"/>
      <c r="AV1392" s="84"/>
      <c r="AY1392" s="84"/>
      <c r="AZ1392" s="84"/>
      <c r="BA1392" s="84"/>
      <c r="BB1392" s="84"/>
      <c r="BC1392" s="84"/>
      <c r="BD1392" s="84"/>
      <c r="BE1392" s="84"/>
      <c r="BF1392" s="942"/>
      <c r="BG1392" s="942"/>
      <c r="BH1392" s="942"/>
      <c r="BI1392" s="84"/>
      <c r="BL1392" s="84"/>
      <c r="BM1392" s="84"/>
      <c r="BN1392" s="84"/>
      <c r="BO1392" s="84"/>
      <c r="BP1392" s="84"/>
      <c r="BQ1392" s="84"/>
      <c r="BR1392" s="84"/>
      <c r="BS1392" s="942"/>
      <c r="BT1392" s="942"/>
      <c r="BU1392" s="942"/>
      <c r="BV1392" s="84"/>
    </row>
    <row r="1393" spans="14:74" ht="14.25">
      <c r="N1393" s="84"/>
      <c r="O1393" s="84"/>
      <c r="P1393" s="84"/>
      <c r="Q1393" s="84"/>
      <c r="R1393" s="84"/>
      <c r="S1393" s="84"/>
      <c r="T1393" s="84"/>
      <c r="U1393" s="84"/>
      <c r="V1393" s="84"/>
      <c r="W1393" s="84"/>
      <c r="Y1393" s="84"/>
      <c r="Z1393" s="84"/>
      <c r="AA1393" s="84"/>
      <c r="AB1393" s="84"/>
      <c r="AC1393" s="84"/>
      <c r="AD1393" s="84"/>
      <c r="AE1393" s="84"/>
      <c r="AF1393" s="84"/>
      <c r="AG1393" s="84"/>
      <c r="AH1393" s="84"/>
      <c r="AI1393" s="84"/>
      <c r="AL1393" s="84"/>
      <c r="AM1393" s="84"/>
      <c r="AN1393" s="84"/>
      <c r="AO1393" s="84"/>
      <c r="AP1393" s="84"/>
      <c r="AQ1393" s="84"/>
      <c r="AR1393" s="84"/>
      <c r="AS1393" s="84"/>
      <c r="AT1393" s="84"/>
      <c r="AU1393" s="84"/>
      <c r="AV1393" s="84"/>
      <c r="AY1393" s="84"/>
      <c r="AZ1393" s="84"/>
      <c r="BA1393" s="84"/>
      <c r="BB1393" s="84"/>
      <c r="BC1393" s="84"/>
      <c r="BD1393" s="84"/>
      <c r="BE1393" s="84"/>
      <c r="BF1393" s="942"/>
      <c r="BG1393" s="942"/>
      <c r="BH1393" s="942"/>
      <c r="BI1393" s="84"/>
      <c r="BL1393" s="84"/>
      <c r="BM1393" s="84"/>
      <c r="BN1393" s="84"/>
      <c r="BO1393" s="84"/>
      <c r="BP1393" s="84"/>
      <c r="BQ1393" s="84"/>
      <c r="BR1393" s="84"/>
      <c r="BS1393" s="942"/>
      <c r="BT1393" s="942"/>
      <c r="BU1393" s="942"/>
      <c r="BV1393" s="84"/>
    </row>
    <row r="1394" spans="14:74" ht="14.25">
      <c r="N1394" s="84"/>
      <c r="O1394" s="84"/>
      <c r="P1394" s="84"/>
      <c r="Q1394" s="84"/>
      <c r="R1394" s="84"/>
      <c r="S1394" s="84"/>
      <c r="T1394" s="84"/>
      <c r="U1394" s="84"/>
      <c r="V1394" s="84"/>
      <c r="W1394" s="84"/>
      <c r="Y1394" s="84"/>
      <c r="Z1394" s="84"/>
      <c r="AA1394" s="84"/>
      <c r="AB1394" s="84"/>
      <c r="AC1394" s="84"/>
      <c r="AD1394" s="84"/>
      <c r="AE1394" s="84"/>
      <c r="AF1394" s="84"/>
      <c r="AG1394" s="84"/>
      <c r="AH1394" s="84"/>
      <c r="AI1394" s="84"/>
      <c r="AL1394" s="84"/>
      <c r="AM1394" s="84"/>
      <c r="AN1394" s="84"/>
      <c r="AO1394" s="84"/>
      <c r="AP1394" s="84"/>
      <c r="AQ1394" s="84"/>
      <c r="AR1394" s="84"/>
      <c r="AS1394" s="84"/>
      <c r="AT1394" s="84"/>
      <c r="AU1394" s="84"/>
      <c r="AV1394" s="84"/>
      <c r="AY1394" s="84"/>
      <c r="AZ1394" s="84"/>
      <c r="BA1394" s="84"/>
      <c r="BB1394" s="84"/>
      <c r="BC1394" s="84"/>
      <c r="BD1394" s="84"/>
      <c r="BE1394" s="84"/>
      <c r="BF1394" s="942"/>
      <c r="BG1394" s="942"/>
      <c r="BH1394" s="942"/>
      <c r="BI1394" s="84"/>
      <c r="BL1394" s="84"/>
      <c r="BM1394" s="84"/>
      <c r="BN1394" s="84"/>
      <c r="BO1394" s="84"/>
      <c r="BP1394" s="84"/>
      <c r="BQ1394" s="84"/>
      <c r="BR1394" s="84"/>
      <c r="BS1394" s="942"/>
      <c r="BT1394" s="942"/>
      <c r="BU1394" s="942"/>
      <c r="BV1394" s="84"/>
    </row>
    <row r="1395" spans="14:74" ht="14.25">
      <c r="N1395" s="84"/>
      <c r="O1395" s="84"/>
      <c r="P1395" s="84"/>
      <c r="Q1395" s="84"/>
      <c r="R1395" s="84"/>
      <c r="S1395" s="84"/>
      <c r="T1395" s="84"/>
      <c r="U1395" s="84"/>
      <c r="V1395" s="84"/>
      <c r="W1395" s="84"/>
      <c r="Y1395" s="84"/>
      <c r="Z1395" s="84"/>
      <c r="AA1395" s="84"/>
      <c r="AB1395" s="84"/>
      <c r="AC1395" s="84"/>
      <c r="AD1395" s="84"/>
      <c r="AE1395" s="84"/>
      <c r="AF1395" s="84"/>
      <c r="AG1395" s="84"/>
      <c r="AH1395" s="84"/>
      <c r="AI1395" s="84"/>
      <c r="AL1395" s="84"/>
      <c r="AM1395" s="84"/>
      <c r="AN1395" s="84"/>
      <c r="AO1395" s="84"/>
      <c r="AP1395" s="84"/>
      <c r="AQ1395" s="84"/>
      <c r="AR1395" s="84"/>
      <c r="AS1395" s="84"/>
      <c r="AT1395" s="84"/>
      <c r="AU1395" s="84"/>
      <c r="AV1395" s="84"/>
      <c r="AY1395" s="84"/>
      <c r="AZ1395" s="84"/>
      <c r="BA1395" s="84"/>
      <c r="BB1395" s="84"/>
      <c r="BC1395" s="84"/>
      <c r="BD1395" s="84"/>
      <c r="BE1395" s="84"/>
      <c r="BF1395" s="942"/>
      <c r="BG1395" s="942"/>
      <c r="BH1395" s="942"/>
      <c r="BI1395" s="84"/>
      <c r="BL1395" s="84"/>
      <c r="BM1395" s="84"/>
      <c r="BN1395" s="84"/>
      <c r="BO1395" s="84"/>
      <c r="BP1395" s="84"/>
      <c r="BQ1395" s="84"/>
      <c r="BR1395" s="84"/>
      <c r="BS1395" s="942"/>
      <c r="BT1395" s="942"/>
      <c r="BU1395" s="942"/>
      <c r="BV1395" s="84"/>
    </row>
    <row r="1396" spans="14:74" ht="14.25">
      <c r="N1396" s="84"/>
      <c r="O1396" s="84"/>
      <c r="P1396" s="84"/>
      <c r="Q1396" s="84"/>
      <c r="R1396" s="84"/>
      <c r="S1396" s="84"/>
      <c r="T1396" s="84"/>
      <c r="U1396" s="84"/>
      <c r="V1396" s="84"/>
      <c r="W1396" s="84"/>
      <c r="Y1396" s="84"/>
      <c r="Z1396" s="84"/>
      <c r="AA1396" s="84"/>
      <c r="AB1396" s="84"/>
      <c r="AC1396" s="84"/>
      <c r="AD1396" s="84"/>
      <c r="AE1396" s="84"/>
      <c r="AF1396" s="84"/>
      <c r="AG1396" s="84"/>
      <c r="AH1396" s="84"/>
      <c r="AI1396" s="84"/>
      <c r="AL1396" s="84"/>
      <c r="AM1396" s="84"/>
      <c r="AN1396" s="84"/>
      <c r="AO1396" s="84"/>
      <c r="AP1396" s="84"/>
      <c r="AQ1396" s="84"/>
      <c r="AR1396" s="84"/>
      <c r="AS1396" s="84"/>
      <c r="AT1396" s="84"/>
      <c r="AU1396" s="84"/>
      <c r="AV1396" s="84"/>
      <c r="AY1396" s="84"/>
      <c r="AZ1396" s="84"/>
      <c r="BA1396" s="84"/>
      <c r="BB1396" s="84"/>
      <c r="BC1396" s="84"/>
      <c r="BD1396" s="84"/>
      <c r="BE1396" s="84"/>
      <c r="BF1396" s="942"/>
      <c r="BG1396" s="942"/>
      <c r="BH1396" s="942"/>
      <c r="BI1396" s="84"/>
      <c r="BL1396" s="84"/>
      <c r="BM1396" s="84"/>
      <c r="BN1396" s="84"/>
      <c r="BO1396" s="84"/>
      <c r="BP1396" s="84"/>
      <c r="BQ1396" s="84"/>
      <c r="BR1396" s="84"/>
      <c r="BS1396" s="942"/>
      <c r="BT1396" s="942"/>
      <c r="BU1396" s="942"/>
      <c r="BV1396" s="84"/>
    </row>
    <row r="1397" spans="14:74" ht="14.25">
      <c r="N1397" s="84"/>
      <c r="O1397" s="84"/>
      <c r="P1397" s="84"/>
      <c r="Q1397" s="84"/>
      <c r="R1397" s="84"/>
      <c r="S1397" s="84"/>
      <c r="T1397" s="84"/>
      <c r="U1397" s="84"/>
      <c r="V1397" s="84"/>
      <c r="W1397" s="84"/>
      <c r="Y1397" s="84"/>
      <c r="Z1397" s="84"/>
      <c r="AA1397" s="84"/>
      <c r="AB1397" s="84"/>
      <c r="AC1397" s="84"/>
      <c r="AD1397" s="84"/>
      <c r="AE1397" s="84"/>
      <c r="AF1397" s="84"/>
      <c r="AG1397" s="84"/>
      <c r="AH1397" s="84"/>
      <c r="AI1397" s="84"/>
      <c r="AL1397" s="84"/>
      <c r="AM1397" s="84"/>
      <c r="AN1397" s="84"/>
      <c r="AO1397" s="84"/>
      <c r="AP1397" s="84"/>
      <c r="AQ1397" s="84"/>
      <c r="AR1397" s="84"/>
      <c r="AS1397" s="84"/>
      <c r="AT1397" s="84"/>
      <c r="AU1397" s="84"/>
      <c r="AV1397" s="84"/>
      <c r="AY1397" s="84"/>
      <c r="AZ1397" s="84"/>
      <c r="BA1397" s="84"/>
      <c r="BB1397" s="84"/>
      <c r="BC1397" s="84"/>
      <c r="BD1397" s="84"/>
      <c r="BE1397" s="84"/>
      <c r="BF1397" s="942"/>
      <c r="BG1397" s="942"/>
      <c r="BH1397" s="942"/>
      <c r="BI1397" s="84"/>
      <c r="BL1397" s="84"/>
      <c r="BM1397" s="84"/>
      <c r="BN1397" s="84"/>
      <c r="BO1397" s="84"/>
      <c r="BP1397" s="84"/>
      <c r="BQ1397" s="84"/>
      <c r="BR1397" s="84"/>
      <c r="BS1397" s="942"/>
      <c r="BT1397" s="942"/>
      <c r="BU1397" s="942"/>
      <c r="BV1397" s="84"/>
    </row>
    <row r="1398" spans="14:74" ht="14.25">
      <c r="N1398" s="84"/>
      <c r="O1398" s="84"/>
      <c r="P1398" s="84"/>
      <c r="Q1398" s="84"/>
      <c r="R1398" s="84"/>
      <c r="S1398" s="84"/>
      <c r="T1398" s="84"/>
      <c r="U1398" s="84"/>
      <c r="V1398" s="84"/>
      <c r="W1398" s="84"/>
      <c r="Y1398" s="84"/>
      <c r="Z1398" s="84"/>
      <c r="AA1398" s="84"/>
      <c r="AB1398" s="84"/>
      <c r="AC1398" s="84"/>
      <c r="AD1398" s="84"/>
      <c r="AE1398" s="84"/>
      <c r="AF1398" s="84"/>
      <c r="AG1398" s="84"/>
      <c r="AH1398" s="84"/>
      <c r="AI1398" s="84"/>
      <c r="AL1398" s="84"/>
      <c r="AM1398" s="84"/>
      <c r="AN1398" s="84"/>
      <c r="AO1398" s="84"/>
      <c r="AP1398" s="84"/>
      <c r="AQ1398" s="84"/>
      <c r="AR1398" s="84"/>
      <c r="AS1398" s="84"/>
      <c r="AT1398" s="84"/>
      <c r="AU1398" s="84"/>
      <c r="AV1398" s="84"/>
      <c r="AY1398" s="84"/>
      <c r="AZ1398" s="84"/>
      <c r="BA1398" s="84"/>
      <c r="BB1398" s="84"/>
      <c r="BC1398" s="84"/>
      <c r="BD1398" s="84"/>
      <c r="BE1398" s="84"/>
      <c r="BF1398" s="942"/>
      <c r="BG1398" s="942"/>
      <c r="BH1398" s="942"/>
      <c r="BI1398" s="84"/>
      <c r="BL1398" s="84"/>
      <c r="BM1398" s="84"/>
      <c r="BN1398" s="84"/>
      <c r="BO1398" s="84"/>
      <c r="BP1398" s="84"/>
      <c r="BQ1398" s="84"/>
      <c r="BR1398" s="84"/>
      <c r="BS1398" s="942"/>
      <c r="BT1398" s="942"/>
      <c r="BU1398" s="942"/>
      <c r="BV1398" s="84"/>
    </row>
    <row r="1399" spans="14:74" ht="14.25">
      <c r="N1399" s="84"/>
      <c r="O1399" s="84"/>
      <c r="P1399" s="84"/>
      <c r="Q1399" s="84"/>
      <c r="R1399" s="84"/>
      <c r="S1399" s="84"/>
      <c r="T1399" s="84"/>
      <c r="U1399" s="84"/>
      <c r="V1399" s="84"/>
      <c r="W1399" s="84"/>
      <c r="Y1399" s="84"/>
      <c r="Z1399" s="84"/>
      <c r="AA1399" s="84"/>
      <c r="AB1399" s="84"/>
      <c r="AC1399" s="84"/>
      <c r="AD1399" s="84"/>
      <c r="AE1399" s="84"/>
      <c r="AF1399" s="84"/>
      <c r="AG1399" s="84"/>
      <c r="AH1399" s="84"/>
      <c r="AI1399" s="84"/>
      <c r="AL1399" s="84"/>
      <c r="AM1399" s="84"/>
      <c r="AN1399" s="84"/>
      <c r="AO1399" s="84"/>
      <c r="AP1399" s="84"/>
      <c r="AQ1399" s="84"/>
      <c r="AR1399" s="84"/>
      <c r="AS1399" s="84"/>
      <c r="AT1399" s="84"/>
      <c r="AU1399" s="84"/>
      <c r="AV1399" s="84"/>
      <c r="AY1399" s="84"/>
      <c r="AZ1399" s="84"/>
      <c r="BA1399" s="84"/>
      <c r="BB1399" s="84"/>
      <c r="BC1399" s="84"/>
      <c r="BD1399" s="84"/>
      <c r="BE1399" s="84"/>
      <c r="BF1399" s="942"/>
      <c r="BG1399" s="942"/>
      <c r="BH1399" s="942"/>
      <c r="BI1399" s="84"/>
      <c r="BL1399" s="84"/>
      <c r="BM1399" s="84"/>
      <c r="BN1399" s="84"/>
      <c r="BO1399" s="84"/>
      <c r="BP1399" s="84"/>
      <c r="BQ1399" s="84"/>
      <c r="BR1399" s="84"/>
      <c r="BS1399" s="942"/>
      <c r="BT1399" s="942"/>
      <c r="BU1399" s="942"/>
      <c r="BV1399" s="84"/>
    </row>
    <row r="1400" spans="14:74" ht="14.25">
      <c r="N1400" s="84"/>
      <c r="O1400" s="84"/>
      <c r="P1400" s="84"/>
      <c r="Q1400" s="84"/>
      <c r="R1400" s="84"/>
      <c r="S1400" s="84"/>
      <c r="T1400" s="84"/>
      <c r="U1400" s="84"/>
      <c r="V1400" s="84"/>
      <c r="W1400" s="84"/>
      <c r="Y1400" s="84"/>
      <c r="Z1400" s="84"/>
      <c r="AA1400" s="84"/>
      <c r="AB1400" s="84"/>
      <c r="AC1400" s="84"/>
      <c r="AD1400" s="84"/>
      <c r="AE1400" s="84"/>
      <c r="AF1400" s="84"/>
      <c r="AG1400" s="84"/>
      <c r="AH1400" s="84"/>
      <c r="AI1400" s="84"/>
      <c r="AL1400" s="84"/>
      <c r="AM1400" s="84"/>
      <c r="AN1400" s="84"/>
      <c r="AO1400" s="84"/>
      <c r="AP1400" s="84"/>
      <c r="AQ1400" s="84"/>
      <c r="AR1400" s="84"/>
      <c r="AS1400" s="84"/>
      <c r="AT1400" s="84"/>
      <c r="AU1400" s="84"/>
      <c r="AV1400" s="84"/>
      <c r="AY1400" s="84"/>
      <c r="AZ1400" s="84"/>
      <c r="BA1400" s="84"/>
      <c r="BB1400" s="84"/>
      <c r="BC1400" s="84"/>
      <c r="BD1400" s="84"/>
      <c r="BE1400" s="84"/>
      <c r="BF1400" s="942"/>
      <c r="BG1400" s="942"/>
      <c r="BH1400" s="942"/>
      <c r="BI1400" s="84"/>
      <c r="BL1400" s="84"/>
      <c r="BM1400" s="84"/>
      <c r="BN1400" s="84"/>
      <c r="BO1400" s="84"/>
      <c r="BP1400" s="84"/>
      <c r="BQ1400" s="84"/>
      <c r="BR1400" s="84"/>
      <c r="BS1400" s="942"/>
      <c r="BT1400" s="942"/>
      <c r="BU1400" s="942"/>
      <c r="BV1400" s="84"/>
    </row>
    <row r="1401" spans="14:74" ht="14.25">
      <c r="N1401" s="84"/>
      <c r="O1401" s="84"/>
      <c r="P1401" s="84"/>
      <c r="Q1401" s="84"/>
      <c r="R1401" s="84"/>
      <c r="S1401" s="84"/>
      <c r="T1401" s="84"/>
      <c r="U1401" s="84"/>
      <c r="V1401" s="84"/>
      <c r="W1401" s="84"/>
      <c r="Y1401" s="84"/>
      <c r="Z1401" s="84"/>
      <c r="AA1401" s="84"/>
      <c r="AB1401" s="84"/>
      <c r="AC1401" s="84"/>
      <c r="AD1401" s="84"/>
      <c r="AE1401" s="84"/>
      <c r="AF1401" s="84"/>
      <c r="AG1401" s="84"/>
      <c r="AH1401" s="84"/>
      <c r="AI1401" s="84"/>
      <c r="AL1401" s="84"/>
      <c r="AM1401" s="84"/>
      <c r="AN1401" s="84"/>
      <c r="AO1401" s="84"/>
      <c r="AP1401" s="84"/>
      <c r="AQ1401" s="84"/>
      <c r="AR1401" s="84"/>
      <c r="AS1401" s="84"/>
      <c r="AT1401" s="84"/>
      <c r="AU1401" s="84"/>
      <c r="AV1401" s="84"/>
      <c r="AY1401" s="84"/>
      <c r="AZ1401" s="84"/>
      <c r="BA1401" s="84"/>
      <c r="BB1401" s="84"/>
      <c r="BC1401" s="84"/>
      <c r="BD1401" s="84"/>
      <c r="BE1401" s="84"/>
      <c r="BF1401" s="942"/>
      <c r="BG1401" s="942"/>
      <c r="BH1401" s="942"/>
      <c r="BI1401" s="84"/>
      <c r="BL1401" s="84"/>
      <c r="BM1401" s="84"/>
      <c r="BN1401" s="84"/>
      <c r="BO1401" s="84"/>
      <c r="BP1401" s="84"/>
      <c r="BQ1401" s="84"/>
      <c r="BR1401" s="84"/>
      <c r="BS1401" s="942"/>
      <c r="BT1401" s="942"/>
      <c r="BU1401" s="942"/>
      <c r="BV1401" s="84"/>
    </row>
    <row r="1402" spans="14:74" ht="14.25">
      <c r="N1402" s="84"/>
      <c r="O1402" s="84"/>
      <c r="P1402" s="84"/>
      <c r="Q1402" s="84"/>
      <c r="R1402" s="84"/>
      <c r="S1402" s="84"/>
      <c r="T1402" s="84"/>
      <c r="U1402" s="84"/>
      <c r="V1402" s="84"/>
      <c r="W1402" s="84"/>
      <c r="Y1402" s="84"/>
      <c r="Z1402" s="84"/>
      <c r="AA1402" s="84"/>
      <c r="AB1402" s="84"/>
      <c r="AC1402" s="84"/>
      <c r="AD1402" s="84"/>
      <c r="AE1402" s="84"/>
      <c r="AF1402" s="84"/>
      <c r="AG1402" s="84"/>
      <c r="AH1402" s="84"/>
      <c r="AI1402" s="84"/>
      <c r="AL1402" s="84"/>
      <c r="AM1402" s="84"/>
      <c r="AN1402" s="84"/>
      <c r="AO1402" s="84"/>
      <c r="AP1402" s="84"/>
      <c r="AQ1402" s="84"/>
      <c r="AR1402" s="84"/>
      <c r="AS1402" s="84"/>
      <c r="AT1402" s="84"/>
      <c r="AU1402" s="84"/>
      <c r="AV1402" s="84"/>
      <c r="AY1402" s="84"/>
      <c r="AZ1402" s="84"/>
      <c r="BA1402" s="84"/>
      <c r="BB1402" s="84"/>
      <c r="BC1402" s="84"/>
      <c r="BD1402" s="84"/>
      <c r="BE1402" s="84"/>
      <c r="BF1402" s="942"/>
      <c r="BG1402" s="942"/>
      <c r="BH1402" s="942"/>
      <c r="BI1402" s="84"/>
      <c r="BL1402" s="84"/>
      <c r="BM1402" s="84"/>
      <c r="BN1402" s="84"/>
      <c r="BO1402" s="84"/>
      <c r="BP1402" s="84"/>
      <c r="BQ1402" s="84"/>
      <c r="BR1402" s="84"/>
      <c r="BS1402" s="942"/>
      <c r="BT1402" s="942"/>
      <c r="BU1402" s="942"/>
      <c r="BV1402" s="84"/>
    </row>
    <row r="1403" spans="14:74" ht="14.25">
      <c r="N1403" s="84"/>
      <c r="O1403" s="84"/>
      <c r="P1403" s="84"/>
      <c r="Q1403" s="84"/>
      <c r="R1403" s="84"/>
      <c r="S1403" s="84"/>
      <c r="T1403" s="84"/>
      <c r="U1403" s="84"/>
      <c r="V1403" s="84"/>
      <c r="W1403" s="84"/>
      <c r="Y1403" s="84"/>
      <c r="Z1403" s="84"/>
      <c r="AA1403" s="84"/>
      <c r="AB1403" s="84"/>
      <c r="AC1403" s="84"/>
      <c r="AD1403" s="84"/>
      <c r="AE1403" s="84"/>
      <c r="AF1403" s="84"/>
      <c r="AG1403" s="84"/>
      <c r="AH1403" s="84"/>
      <c r="AI1403" s="84"/>
      <c r="AL1403" s="84"/>
      <c r="AM1403" s="84"/>
      <c r="AN1403" s="84"/>
      <c r="AO1403" s="84"/>
      <c r="AP1403" s="84"/>
      <c r="AQ1403" s="84"/>
      <c r="AR1403" s="84"/>
      <c r="AS1403" s="84"/>
      <c r="AT1403" s="84"/>
      <c r="AU1403" s="84"/>
      <c r="AV1403" s="84"/>
      <c r="AY1403" s="84"/>
      <c r="AZ1403" s="84"/>
      <c r="BA1403" s="84"/>
      <c r="BB1403" s="84"/>
      <c r="BC1403" s="84"/>
      <c r="BD1403" s="84"/>
      <c r="BE1403" s="84"/>
      <c r="BF1403" s="942"/>
      <c r="BG1403" s="942"/>
      <c r="BH1403" s="942"/>
      <c r="BI1403" s="84"/>
      <c r="BL1403" s="84"/>
      <c r="BM1403" s="84"/>
      <c r="BN1403" s="84"/>
      <c r="BO1403" s="84"/>
      <c r="BP1403" s="84"/>
      <c r="BQ1403" s="84"/>
      <c r="BR1403" s="84"/>
      <c r="BS1403" s="942"/>
      <c r="BT1403" s="942"/>
      <c r="BU1403" s="942"/>
      <c r="BV1403" s="84"/>
    </row>
    <row r="1404" spans="14:74" ht="14.25">
      <c r="N1404" s="84"/>
      <c r="O1404" s="84"/>
      <c r="P1404" s="84"/>
      <c r="Q1404" s="84"/>
      <c r="R1404" s="84"/>
      <c r="S1404" s="84"/>
      <c r="T1404" s="84"/>
      <c r="U1404" s="84"/>
      <c r="V1404" s="84"/>
      <c r="W1404" s="84"/>
      <c r="Y1404" s="84"/>
      <c r="Z1404" s="84"/>
      <c r="AA1404" s="84"/>
      <c r="AB1404" s="84"/>
      <c r="AC1404" s="84"/>
      <c r="AD1404" s="84"/>
      <c r="AE1404" s="84"/>
      <c r="AF1404" s="84"/>
      <c r="AG1404" s="84"/>
      <c r="AH1404" s="84"/>
      <c r="AI1404" s="84"/>
      <c r="AL1404" s="84"/>
      <c r="AM1404" s="84"/>
      <c r="AN1404" s="84"/>
      <c r="AO1404" s="84"/>
      <c r="AP1404" s="84"/>
      <c r="AQ1404" s="84"/>
      <c r="AR1404" s="84"/>
      <c r="AS1404" s="84"/>
      <c r="AT1404" s="84"/>
      <c r="AU1404" s="84"/>
      <c r="AV1404" s="84"/>
      <c r="AY1404" s="84"/>
      <c r="AZ1404" s="84"/>
      <c r="BA1404" s="84"/>
      <c r="BB1404" s="84"/>
      <c r="BC1404" s="84"/>
      <c r="BD1404" s="84"/>
      <c r="BE1404" s="84"/>
      <c r="BF1404" s="942"/>
      <c r="BG1404" s="942"/>
      <c r="BH1404" s="942"/>
      <c r="BI1404" s="84"/>
      <c r="BL1404" s="84"/>
      <c r="BM1404" s="84"/>
      <c r="BN1404" s="84"/>
      <c r="BO1404" s="84"/>
      <c r="BP1404" s="84"/>
      <c r="BQ1404" s="84"/>
      <c r="BR1404" s="84"/>
      <c r="BS1404" s="942"/>
      <c r="BT1404" s="942"/>
      <c r="BU1404" s="942"/>
      <c r="BV1404" s="84"/>
    </row>
    <row r="1405" spans="14:74" ht="14.25">
      <c r="N1405" s="84"/>
      <c r="O1405" s="84"/>
      <c r="P1405" s="84"/>
      <c r="Q1405" s="84"/>
      <c r="R1405" s="84"/>
      <c r="S1405" s="84"/>
      <c r="T1405" s="84"/>
      <c r="U1405" s="84"/>
      <c r="V1405" s="84"/>
      <c r="W1405" s="84"/>
      <c r="Y1405" s="84"/>
      <c r="Z1405" s="84"/>
      <c r="AA1405" s="84"/>
      <c r="AB1405" s="84"/>
      <c r="AC1405" s="84"/>
      <c r="AD1405" s="84"/>
      <c r="AE1405" s="84"/>
      <c r="AF1405" s="84"/>
      <c r="AG1405" s="84"/>
      <c r="AH1405" s="84"/>
      <c r="AI1405" s="84"/>
      <c r="AL1405" s="84"/>
      <c r="AM1405" s="84"/>
      <c r="AN1405" s="84"/>
      <c r="AO1405" s="84"/>
      <c r="AP1405" s="84"/>
      <c r="AQ1405" s="84"/>
      <c r="AR1405" s="84"/>
      <c r="AS1405" s="84"/>
      <c r="AT1405" s="84"/>
      <c r="AU1405" s="84"/>
      <c r="AV1405" s="84"/>
      <c r="AY1405" s="84"/>
      <c r="AZ1405" s="84"/>
      <c r="BA1405" s="84"/>
      <c r="BB1405" s="84"/>
      <c r="BC1405" s="84"/>
      <c r="BD1405" s="84"/>
      <c r="BE1405" s="84"/>
      <c r="BF1405" s="942"/>
      <c r="BG1405" s="942"/>
      <c r="BH1405" s="942"/>
      <c r="BI1405" s="84"/>
      <c r="BL1405" s="84"/>
      <c r="BM1405" s="84"/>
      <c r="BN1405" s="84"/>
      <c r="BO1405" s="84"/>
      <c r="BP1405" s="84"/>
      <c r="BQ1405" s="84"/>
      <c r="BR1405" s="84"/>
      <c r="BS1405" s="942"/>
      <c r="BT1405" s="942"/>
      <c r="BU1405" s="942"/>
      <c r="BV1405" s="84"/>
    </row>
    <row r="1406" spans="14:74" ht="14.25">
      <c r="N1406" s="84"/>
      <c r="O1406" s="84"/>
      <c r="P1406" s="84"/>
      <c r="Q1406" s="84"/>
      <c r="R1406" s="84"/>
      <c r="S1406" s="84"/>
      <c r="T1406" s="84"/>
      <c r="U1406" s="84"/>
      <c r="V1406" s="84"/>
      <c r="W1406" s="84"/>
      <c r="Y1406" s="84"/>
      <c r="Z1406" s="84"/>
      <c r="AA1406" s="84"/>
      <c r="AB1406" s="84"/>
      <c r="AC1406" s="84"/>
      <c r="AD1406" s="84"/>
      <c r="AE1406" s="84"/>
      <c r="AF1406" s="84"/>
      <c r="AG1406" s="84"/>
      <c r="AH1406" s="84"/>
      <c r="AI1406" s="84"/>
      <c r="AL1406" s="84"/>
      <c r="AM1406" s="84"/>
      <c r="AN1406" s="84"/>
      <c r="AO1406" s="84"/>
      <c r="AP1406" s="84"/>
      <c r="AQ1406" s="84"/>
      <c r="AR1406" s="84"/>
      <c r="AS1406" s="84"/>
      <c r="AT1406" s="84"/>
      <c r="AU1406" s="84"/>
      <c r="AV1406" s="84"/>
      <c r="AY1406" s="84"/>
      <c r="AZ1406" s="84"/>
      <c r="BA1406" s="84"/>
      <c r="BB1406" s="84"/>
      <c r="BC1406" s="84"/>
      <c r="BD1406" s="84"/>
      <c r="BE1406" s="84"/>
      <c r="BF1406" s="942"/>
      <c r="BG1406" s="942"/>
      <c r="BH1406" s="942"/>
      <c r="BI1406" s="84"/>
      <c r="BL1406" s="84"/>
      <c r="BM1406" s="84"/>
      <c r="BN1406" s="84"/>
      <c r="BO1406" s="84"/>
      <c r="BP1406" s="84"/>
      <c r="BQ1406" s="84"/>
      <c r="BR1406" s="84"/>
      <c r="BS1406" s="942"/>
      <c r="BT1406" s="942"/>
      <c r="BU1406" s="942"/>
      <c r="BV1406" s="84"/>
    </row>
    <row r="1407" spans="14:74" ht="14.25">
      <c r="N1407" s="84"/>
      <c r="O1407" s="84"/>
      <c r="P1407" s="84"/>
      <c r="Q1407" s="84"/>
      <c r="R1407" s="84"/>
      <c r="S1407" s="84"/>
      <c r="T1407" s="84"/>
      <c r="U1407" s="84"/>
      <c r="V1407" s="84"/>
      <c r="W1407" s="84"/>
      <c r="Y1407" s="84"/>
      <c r="Z1407" s="84"/>
      <c r="AA1407" s="84"/>
      <c r="AB1407" s="84"/>
      <c r="AC1407" s="84"/>
      <c r="AD1407" s="84"/>
      <c r="AE1407" s="84"/>
      <c r="AF1407" s="84"/>
      <c r="AG1407" s="84"/>
      <c r="AH1407" s="84"/>
      <c r="AI1407" s="84"/>
      <c r="AL1407" s="84"/>
      <c r="AM1407" s="84"/>
      <c r="AN1407" s="84"/>
      <c r="AO1407" s="84"/>
      <c r="AP1407" s="84"/>
      <c r="AQ1407" s="84"/>
      <c r="AR1407" s="84"/>
      <c r="AS1407" s="84"/>
      <c r="AT1407" s="84"/>
      <c r="AU1407" s="84"/>
      <c r="AV1407" s="84"/>
      <c r="AY1407" s="84"/>
      <c r="AZ1407" s="84"/>
      <c r="BA1407" s="84"/>
      <c r="BB1407" s="84"/>
      <c r="BC1407" s="84"/>
      <c r="BD1407" s="84"/>
      <c r="BE1407" s="84"/>
      <c r="BF1407" s="942"/>
      <c r="BG1407" s="942"/>
      <c r="BH1407" s="942"/>
      <c r="BI1407" s="84"/>
      <c r="BL1407" s="84"/>
      <c r="BM1407" s="84"/>
      <c r="BN1407" s="84"/>
      <c r="BO1407" s="84"/>
      <c r="BP1407" s="84"/>
      <c r="BQ1407" s="84"/>
      <c r="BR1407" s="84"/>
      <c r="BS1407" s="942"/>
      <c r="BT1407" s="942"/>
      <c r="BU1407" s="942"/>
      <c r="BV1407" s="84"/>
    </row>
    <row r="1408" spans="14:74" ht="14.25">
      <c r="N1408" s="84"/>
      <c r="O1408" s="84"/>
      <c r="P1408" s="84"/>
      <c r="Q1408" s="84"/>
      <c r="R1408" s="84"/>
      <c r="S1408" s="84"/>
      <c r="T1408" s="84"/>
      <c r="U1408" s="84"/>
      <c r="V1408" s="84"/>
      <c r="W1408" s="84"/>
      <c r="Y1408" s="84"/>
      <c r="Z1408" s="84"/>
      <c r="AA1408" s="84"/>
      <c r="AB1408" s="84"/>
      <c r="AC1408" s="84"/>
      <c r="AD1408" s="84"/>
      <c r="AE1408" s="84"/>
      <c r="AF1408" s="84"/>
      <c r="AG1408" s="84"/>
      <c r="AH1408" s="84"/>
      <c r="AI1408" s="84"/>
      <c r="AL1408" s="84"/>
      <c r="AM1408" s="84"/>
      <c r="AN1408" s="84"/>
      <c r="AO1408" s="84"/>
      <c r="AP1408" s="84"/>
      <c r="AQ1408" s="84"/>
      <c r="AR1408" s="84"/>
      <c r="AS1408" s="84"/>
      <c r="AT1408" s="84"/>
      <c r="AU1408" s="84"/>
      <c r="AV1408" s="84"/>
      <c r="AY1408" s="84"/>
      <c r="AZ1408" s="84"/>
      <c r="BA1408" s="84"/>
      <c r="BB1408" s="84"/>
      <c r="BC1408" s="84"/>
      <c r="BD1408" s="84"/>
      <c r="BE1408" s="84"/>
      <c r="BF1408" s="942"/>
      <c r="BG1408" s="942"/>
      <c r="BH1408" s="942"/>
      <c r="BI1408" s="84"/>
      <c r="BL1408" s="84"/>
      <c r="BM1408" s="84"/>
      <c r="BN1408" s="84"/>
      <c r="BO1408" s="84"/>
      <c r="BP1408" s="84"/>
      <c r="BQ1408" s="84"/>
      <c r="BR1408" s="84"/>
      <c r="BS1408" s="942"/>
      <c r="BT1408" s="942"/>
      <c r="BU1408" s="942"/>
      <c r="BV1408" s="84"/>
    </row>
    <row r="1409" spans="14:74" ht="14.25">
      <c r="N1409" s="84"/>
      <c r="O1409" s="84"/>
      <c r="P1409" s="84"/>
      <c r="Q1409" s="84"/>
      <c r="R1409" s="84"/>
      <c r="S1409" s="84"/>
      <c r="T1409" s="84"/>
      <c r="U1409" s="84"/>
      <c r="V1409" s="84"/>
      <c r="W1409" s="84"/>
      <c r="Y1409" s="84"/>
      <c r="Z1409" s="84"/>
      <c r="AA1409" s="84"/>
      <c r="AB1409" s="84"/>
      <c r="AC1409" s="84"/>
      <c r="AD1409" s="84"/>
      <c r="AE1409" s="84"/>
      <c r="AF1409" s="84"/>
      <c r="AG1409" s="84"/>
      <c r="AH1409" s="84"/>
      <c r="AI1409" s="84"/>
      <c r="AL1409" s="84"/>
      <c r="AM1409" s="84"/>
      <c r="AN1409" s="84"/>
      <c r="AO1409" s="84"/>
      <c r="AP1409" s="84"/>
      <c r="AQ1409" s="84"/>
      <c r="AR1409" s="84"/>
      <c r="AS1409" s="84"/>
      <c r="AT1409" s="84"/>
      <c r="AU1409" s="84"/>
      <c r="AV1409" s="84"/>
      <c r="AY1409" s="84"/>
      <c r="AZ1409" s="84"/>
      <c r="BA1409" s="84"/>
      <c r="BB1409" s="84"/>
      <c r="BC1409" s="84"/>
      <c r="BD1409" s="84"/>
      <c r="BE1409" s="84"/>
      <c r="BF1409" s="942"/>
      <c r="BG1409" s="942"/>
      <c r="BH1409" s="942"/>
      <c r="BI1409" s="84"/>
      <c r="BL1409" s="84"/>
      <c r="BM1409" s="84"/>
      <c r="BN1409" s="84"/>
      <c r="BO1409" s="84"/>
      <c r="BP1409" s="84"/>
      <c r="BQ1409" s="84"/>
      <c r="BR1409" s="84"/>
      <c r="BS1409" s="942"/>
      <c r="BT1409" s="942"/>
      <c r="BU1409" s="942"/>
      <c r="BV1409" s="84"/>
    </row>
    <row r="1410" spans="14:74" ht="14.25">
      <c r="N1410" s="84"/>
      <c r="O1410" s="84"/>
      <c r="P1410" s="84"/>
      <c r="Q1410" s="84"/>
      <c r="R1410" s="84"/>
      <c r="S1410" s="84"/>
      <c r="T1410" s="84"/>
      <c r="U1410" s="84"/>
      <c r="V1410" s="84"/>
      <c r="W1410" s="84"/>
      <c r="Y1410" s="84"/>
      <c r="Z1410" s="84"/>
      <c r="AA1410" s="84"/>
      <c r="AB1410" s="84"/>
      <c r="AC1410" s="84"/>
      <c r="AD1410" s="84"/>
      <c r="AE1410" s="84"/>
      <c r="AF1410" s="84"/>
      <c r="AG1410" s="84"/>
      <c r="AH1410" s="84"/>
      <c r="AI1410" s="84"/>
      <c r="AL1410" s="84"/>
      <c r="AM1410" s="84"/>
      <c r="AN1410" s="84"/>
      <c r="AO1410" s="84"/>
      <c r="AP1410" s="84"/>
      <c r="AQ1410" s="84"/>
      <c r="AR1410" s="84"/>
      <c r="AS1410" s="84"/>
      <c r="AT1410" s="84"/>
      <c r="AU1410" s="84"/>
      <c r="AV1410" s="84"/>
      <c r="AY1410" s="84"/>
      <c r="AZ1410" s="84"/>
      <c r="BA1410" s="84"/>
      <c r="BB1410" s="84"/>
      <c r="BC1410" s="84"/>
      <c r="BD1410" s="84"/>
      <c r="BE1410" s="84"/>
      <c r="BF1410" s="942"/>
      <c r="BG1410" s="942"/>
      <c r="BH1410" s="942"/>
      <c r="BI1410" s="84"/>
      <c r="BL1410" s="84"/>
      <c r="BM1410" s="84"/>
      <c r="BN1410" s="84"/>
      <c r="BO1410" s="84"/>
      <c r="BP1410" s="84"/>
      <c r="BQ1410" s="84"/>
      <c r="BR1410" s="84"/>
      <c r="BS1410" s="942"/>
      <c r="BT1410" s="942"/>
      <c r="BU1410" s="942"/>
      <c r="BV1410" s="84"/>
    </row>
    <row r="1411" spans="14:74" ht="14.25">
      <c r="N1411" s="84"/>
      <c r="O1411" s="84"/>
      <c r="P1411" s="84"/>
      <c r="Q1411" s="84"/>
      <c r="R1411" s="84"/>
      <c r="S1411" s="84"/>
      <c r="T1411" s="84"/>
      <c r="U1411" s="84"/>
      <c r="V1411" s="84"/>
      <c r="W1411" s="84"/>
      <c r="Y1411" s="84"/>
      <c r="Z1411" s="84"/>
      <c r="AA1411" s="84"/>
      <c r="AB1411" s="84"/>
      <c r="AC1411" s="84"/>
      <c r="AD1411" s="84"/>
      <c r="AE1411" s="84"/>
      <c r="AF1411" s="84"/>
      <c r="AG1411" s="84"/>
      <c r="AH1411" s="84"/>
      <c r="AI1411" s="84"/>
      <c r="AL1411" s="84"/>
      <c r="AM1411" s="84"/>
      <c r="AN1411" s="84"/>
      <c r="AO1411" s="84"/>
      <c r="AP1411" s="84"/>
      <c r="AQ1411" s="84"/>
      <c r="AR1411" s="84"/>
      <c r="AS1411" s="84"/>
      <c r="AT1411" s="84"/>
      <c r="AU1411" s="84"/>
      <c r="AV1411" s="84"/>
      <c r="AY1411" s="84"/>
      <c r="AZ1411" s="84"/>
      <c r="BA1411" s="84"/>
      <c r="BB1411" s="84"/>
      <c r="BC1411" s="84"/>
      <c r="BD1411" s="84"/>
      <c r="BE1411" s="84"/>
      <c r="BF1411" s="942"/>
      <c r="BG1411" s="942"/>
      <c r="BH1411" s="942"/>
      <c r="BI1411" s="84"/>
      <c r="BL1411" s="84"/>
      <c r="BM1411" s="84"/>
      <c r="BN1411" s="84"/>
      <c r="BO1411" s="84"/>
      <c r="BP1411" s="84"/>
      <c r="BQ1411" s="84"/>
      <c r="BR1411" s="84"/>
      <c r="BS1411" s="942"/>
      <c r="BT1411" s="942"/>
      <c r="BU1411" s="942"/>
      <c r="BV1411" s="84"/>
    </row>
    <row r="1412" spans="14:74" ht="14.25">
      <c r="N1412" s="84"/>
      <c r="O1412" s="84"/>
      <c r="P1412" s="84"/>
      <c r="Q1412" s="84"/>
      <c r="R1412" s="84"/>
      <c r="S1412" s="84"/>
      <c r="T1412" s="84"/>
      <c r="U1412" s="84"/>
      <c r="V1412" s="84"/>
      <c r="W1412" s="84"/>
      <c r="Y1412" s="84"/>
      <c r="Z1412" s="84"/>
      <c r="AA1412" s="84"/>
      <c r="AB1412" s="84"/>
      <c r="AC1412" s="84"/>
      <c r="AD1412" s="84"/>
      <c r="AE1412" s="84"/>
      <c r="AF1412" s="84"/>
      <c r="AG1412" s="84"/>
      <c r="AH1412" s="84"/>
      <c r="AI1412" s="84"/>
      <c r="AL1412" s="84"/>
      <c r="AM1412" s="84"/>
      <c r="AN1412" s="84"/>
      <c r="AO1412" s="84"/>
      <c r="AP1412" s="84"/>
      <c r="AQ1412" s="84"/>
      <c r="AR1412" s="84"/>
      <c r="AS1412" s="84"/>
      <c r="AT1412" s="84"/>
      <c r="AU1412" s="84"/>
      <c r="AV1412" s="84"/>
      <c r="AY1412" s="84"/>
      <c r="AZ1412" s="84"/>
      <c r="BA1412" s="84"/>
      <c r="BB1412" s="84"/>
      <c r="BC1412" s="84"/>
      <c r="BD1412" s="84"/>
      <c r="BE1412" s="84"/>
      <c r="BF1412" s="942"/>
      <c r="BG1412" s="942"/>
      <c r="BH1412" s="942"/>
      <c r="BI1412" s="84"/>
      <c r="BL1412" s="84"/>
      <c r="BM1412" s="84"/>
      <c r="BN1412" s="84"/>
      <c r="BO1412" s="84"/>
      <c r="BP1412" s="84"/>
      <c r="BQ1412" s="84"/>
      <c r="BR1412" s="84"/>
      <c r="BS1412" s="942"/>
      <c r="BT1412" s="942"/>
      <c r="BU1412" s="942"/>
      <c r="BV1412" s="84"/>
    </row>
    <row r="1413" spans="14:74" ht="14.25">
      <c r="N1413" s="84"/>
      <c r="O1413" s="84"/>
      <c r="P1413" s="84"/>
      <c r="Q1413" s="84"/>
      <c r="R1413" s="84"/>
      <c r="S1413" s="84"/>
      <c r="T1413" s="84"/>
      <c r="U1413" s="84"/>
      <c r="V1413" s="84"/>
      <c r="W1413" s="84"/>
      <c r="Y1413" s="84"/>
      <c r="Z1413" s="84"/>
      <c r="AA1413" s="84"/>
      <c r="AB1413" s="84"/>
      <c r="AC1413" s="84"/>
      <c r="AD1413" s="84"/>
      <c r="AE1413" s="84"/>
      <c r="AF1413" s="84"/>
      <c r="AG1413" s="84"/>
      <c r="AH1413" s="84"/>
      <c r="AI1413" s="84"/>
      <c r="AL1413" s="84"/>
      <c r="AM1413" s="84"/>
      <c r="AN1413" s="84"/>
      <c r="AO1413" s="84"/>
      <c r="AP1413" s="84"/>
      <c r="AQ1413" s="84"/>
      <c r="AR1413" s="84"/>
      <c r="AS1413" s="84"/>
      <c r="AT1413" s="84"/>
      <c r="AU1413" s="84"/>
      <c r="AV1413" s="84"/>
      <c r="AY1413" s="84"/>
      <c r="AZ1413" s="84"/>
      <c r="BA1413" s="84"/>
      <c r="BB1413" s="84"/>
      <c r="BC1413" s="84"/>
      <c r="BD1413" s="84"/>
      <c r="BE1413" s="84"/>
      <c r="BF1413" s="942"/>
      <c r="BG1413" s="942"/>
      <c r="BH1413" s="942"/>
      <c r="BI1413" s="84"/>
      <c r="BL1413" s="84"/>
      <c r="BM1413" s="84"/>
      <c r="BN1413" s="84"/>
      <c r="BO1413" s="84"/>
      <c r="BP1413" s="84"/>
      <c r="BQ1413" s="84"/>
      <c r="BR1413" s="84"/>
      <c r="BS1413" s="942"/>
      <c r="BT1413" s="942"/>
      <c r="BU1413" s="942"/>
      <c r="BV1413" s="84"/>
    </row>
    <row r="1414" spans="14:74" ht="14.25">
      <c r="N1414" s="84"/>
      <c r="O1414" s="84"/>
      <c r="P1414" s="84"/>
      <c r="Q1414" s="84"/>
      <c r="R1414" s="84"/>
      <c r="S1414" s="84"/>
      <c r="T1414" s="84"/>
      <c r="U1414" s="84"/>
      <c r="V1414" s="84"/>
      <c r="W1414" s="84"/>
      <c r="Y1414" s="84"/>
      <c r="Z1414" s="84"/>
      <c r="AA1414" s="84"/>
      <c r="AB1414" s="84"/>
      <c r="AC1414" s="84"/>
      <c r="AD1414" s="84"/>
      <c r="AE1414" s="84"/>
      <c r="AF1414" s="84"/>
      <c r="AG1414" s="84"/>
      <c r="AH1414" s="84"/>
      <c r="AI1414" s="84"/>
      <c r="AL1414" s="84"/>
      <c r="AM1414" s="84"/>
      <c r="AN1414" s="84"/>
      <c r="AO1414" s="84"/>
      <c r="AP1414" s="84"/>
      <c r="AQ1414" s="84"/>
      <c r="AR1414" s="84"/>
      <c r="AS1414" s="84"/>
      <c r="AT1414" s="84"/>
      <c r="AU1414" s="84"/>
      <c r="AV1414" s="84"/>
      <c r="AY1414" s="84"/>
      <c r="AZ1414" s="84"/>
      <c r="BA1414" s="84"/>
      <c r="BB1414" s="84"/>
      <c r="BC1414" s="84"/>
      <c r="BD1414" s="84"/>
      <c r="BE1414" s="84"/>
      <c r="BF1414" s="942"/>
      <c r="BG1414" s="942"/>
      <c r="BH1414" s="942"/>
      <c r="BI1414" s="84"/>
      <c r="BL1414" s="84"/>
      <c r="BM1414" s="84"/>
      <c r="BN1414" s="84"/>
      <c r="BO1414" s="84"/>
      <c r="BP1414" s="84"/>
      <c r="BQ1414" s="84"/>
      <c r="BR1414" s="84"/>
      <c r="BS1414" s="942"/>
      <c r="BT1414" s="942"/>
      <c r="BU1414" s="942"/>
      <c r="BV1414" s="84"/>
    </row>
    <row r="1415" spans="14:74" ht="14.25">
      <c r="N1415" s="84"/>
      <c r="O1415" s="84"/>
      <c r="P1415" s="84"/>
      <c r="Q1415" s="84"/>
      <c r="R1415" s="84"/>
      <c r="S1415" s="84"/>
      <c r="T1415" s="84"/>
      <c r="U1415" s="84"/>
      <c r="V1415" s="84"/>
      <c r="W1415" s="84"/>
      <c r="Y1415" s="84"/>
      <c r="Z1415" s="84"/>
      <c r="AA1415" s="84"/>
      <c r="AB1415" s="84"/>
      <c r="AC1415" s="84"/>
      <c r="AD1415" s="84"/>
      <c r="AE1415" s="84"/>
      <c r="AF1415" s="84"/>
      <c r="AG1415" s="84"/>
      <c r="AH1415" s="84"/>
      <c r="AI1415" s="84"/>
      <c r="AL1415" s="84"/>
      <c r="AM1415" s="84"/>
      <c r="AN1415" s="84"/>
      <c r="AO1415" s="84"/>
      <c r="AP1415" s="84"/>
      <c r="AQ1415" s="84"/>
      <c r="AR1415" s="84"/>
      <c r="AS1415" s="84"/>
      <c r="AT1415" s="84"/>
      <c r="AU1415" s="84"/>
      <c r="AV1415" s="84"/>
      <c r="AY1415" s="84"/>
      <c r="AZ1415" s="84"/>
      <c r="BA1415" s="84"/>
      <c r="BB1415" s="84"/>
      <c r="BC1415" s="84"/>
      <c r="BD1415" s="84"/>
      <c r="BE1415" s="84"/>
      <c r="BF1415" s="942"/>
      <c r="BG1415" s="942"/>
      <c r="BH1415" s="942"/>
      <c r="BI1415" s="84"/>
      <c r="BL1415" s="84"/>
      <c r="BM1415" s="84"/>
      <c r="BN1415" s="84"/>
      <c r="BO1415" s="84"/>
      <c r="BP1415" s="84"/>
      <c r="BQ1415" s="84"/>
      <c r="BR1415" s="84"/>
      <c r="BS1415" s="942"/>
      <c r="BT1415" s="942"/>
      <c r="BU1415" s="942"/>
      <c r="BV1415" s="84"/>
    </row>
    <row r="1416" spans="14:74" ht="14.25">
      <c r="N1416" s="84"/>
      <c r="O1416" s="84"/>
      <c r="P1416" s="84"/>
      <c r="Q1416" s="84"/>
      <c r="R1416" s="84"/>
      <c r="S1416" s="84"/>
      <c r="T1416" s="84"/>
      <c r="U1416" s="84"/>
      <c r="V1416" s="84"/>
      <c r="W1416" s="84"/>
      <c r="Y1416" s="84"/>
      <c r="Z1416" s="84"/>
      <c r="AA1416" s="84"/>
      <c r="AB1416" s="84"/>
      <c r="AC1416" s="84"/>
      <c r="AD1416" s="84"/>
      <c r="AE1416" s="84"/>
      <c r="AF1416" s="84"/>
      <c r="AG1416" s="84"/>
      <c r="AH1416" s="84"/>
      <c r="AI1416" s="84"/>
      <c r="AL1416" s="84"/>
      <c r="AM1416" s="84"/>
      <c r="AN1416" s="84"/>
      <c r="AO1416" s="84"/>
      <c r="AP1416" s="84"/>
      <c r="AQ1416" s="84"/>
      <c r="AR1416" s="84"/>
      <c r="AS1416" s="84"/>
      <c r="AT1416" s="84"/>
      <c r="AU1416" s="84"/>
      <c r="AV1416" s="84"/>
      <c r="AY1416" s="84"/>
      <c r="AZ1416" s="84"/>
      <c r="BA1416" s="84"/>
      <c r="BB1416" s="84"/>
      <c r="BC1416" s="84"/>
      <c r="BD1416" s="84"/>
      <c r="BE1416" s="84"/>
      <c r="BF1416" s="942"/>
      <c r="BG1416" s="942"/>
      <c r="BH1416" s="942"/>
      <c r="BI1416" s="84"/>
      <c r="BL1416" s="84"/>
      <c r="BM1416" s="84"/>
      <c r="BN1416" s="84"/>
      <c r="BO1416" s="84"/>
      <c r="BP1416" s="84"/>
      <c r="BQ1416" s="84"/>
      <c r="BR1416" s="84"/>
      <c r="BS1416" s="942"/>
      <c r="BT1416" s="942"/>
      <c r="BU1416" s="942"/>
      <c r="BV1416" s="84"/>
    </row>
    <row r="1417" spans="14:74" ht="14.25">
      <c r="N1417" s="84"/>
      <c r="O1417" s="84"/>
      <c r="P1417" s="84"/>
      <c r="Q1417" s="84"/>
      <c r="R1417" s="84"/>
      <c r="S1417" s="84"/>
      <c r="T1417" s="84"/>
      <c r="U1417" s="84"/>
      <c r="V1417" s="84"/>
      <c r="W1417" s="84"/>
      <c r="Y1417" s="84"/>
      <c r="Z1417" s="84"/>
      <c r="AA1417" s="84"/>
      <c r="AB1417" s="84"/>
      <c r="AC1417" s="84"/>
      <c r="AD1417" s="84"/>
      <c r="AE1417" s="84"/>
      <c r="AF1417" s="84"/>
      <c r="AG1417" s="84"/>
      <c r="AH1417" s="84"/>
      <c r="AI1417" s="84"/>
      <c r="AL1417" s="84"/>
      <c r="AM1417" s="84"/>
      <c r="AN1417" s="84"/>
      <c r="AO1417" s="84"/>
      <c r="AP1417" s="84"/>
      <c r="AQ1417" s="84"/>
      <c r="AR1417" s="84"/>
      <c r="AS1417" s="84"/>
      <c r="AT1417" s="84"/>
      <c r="AU1417" s="84"/>
      <c r="AV1417" s="84"/>
      <c r="AY1417" s="84"/>
      <c r="AZ1417" s="84"/>
      <c r="BA1417" s="84"/>
      <c r="BB1417" s="84"/>
      <c r="BC1417" s="84"/>
      <c r="BD1417" s="84"/>
      <c r="BE1417" s="84"/>
      <c r="BF1417" s="942"/>
      <c r="BG1417" s="942"/>
      <c r="BH1417" s="942"/>
      <c r="BI1417" s="84"/>
      <c r="BL1417" s="84"/>
      <c r="BM1417" s="84"/>
      <c r="BN1417" s="84"/>
      <c r="BO1417" s="84"/>
      <c r="BP1417" s="84"/>
      <c r="BQ1417" s="84"/>
      <c r="BR1417" s="84"/>
      <c r="BS1417" s="942"/>
      <c r="BT1417" s="942"/>
      <c r="BU1417" s="942"/>
      <c r="BV1417" s="84"/>
    </row>
    <row r="1418" spans="14:74" ht="14.25">
      <c r="N1418" s="84"/>
      <c r="O1418" s="84"/>
      <c r="P1418" s="84"/>
      <c r="Q1418" s="84"/>
      <c r="R1418" s="84"/>
      <c r="S1418" s="84"/>
      <c r="T1418" s="84"/>
      <c r="U1418" s="84"/>
      <c r="V1418" s="84"/>
      <c r="W1418" s="84"/>
      <c r="Y1418" s="84"/>
      <c r="Z1418" s="84"/>
      <c r="AA1418" s="84"/>
      <c r="AB1418" s="84"/>
      <c r="AC1418" s="84"/>
      <c r="AD1418" s="84"/>
      <c r="AE1418" s="84"/>
      <c r="AF1418" s="84"/>
      <c r="AG1418" s="84"/>
      <c r="AH1418" s="84"/>
      <c r="AI1418" s="84"/>
      <c r="AL1418" s="84"/>
      <c r="AM1418" s="84"/>
      <c r="AN1418" s="84"/>
      <c r="AO1418" s="84"/>
      <c r="AP1418" s="84"/>
      <c r="AQ1418" s="84"/>
      <c r="AR1418" s="84"/>
      <c r="AS1418" s="84"/>
      <c r="AT1418" s="84"/>
      <c r="AU1418" s="84"/>
      <c r="AV1418" s="84"/>
      <c r="AY1418" s="84"/>
      <c r="AZ1418" s="84"/>
      <c r="BA1418" s="84"/>
      <c r="BB1418" s="84"/>
      <c r="BC1418" s="84"/>
      <c r="BD1418" s="84"/>
      <c r="BE1418" s="84"/>
      <c r="BF1418" s="942"/>
      <c r="BG1418" s="942"/>
      <c r="BH1418" s="942"/>
      <c r="BI1418" s="84"/>
      <c r="BL1418" s="84"/>
      <c r="BM1418" s="84"/>
      <c r="BN1418" s="84"/>
      <c r="BO1418" s="84"/>
      <c r="BP1418" s="84"/>
      <c r="BQ1418" s="84"/>
      <c r="BR1418" s="84"/>
      <c r="BS1418" s="942"/>
      <c r="BT1418" s="942"/>
      <c r="BU1418" s="942"/>
      <c r="BV1418" s="84"/>
    </row>
    <row r="1419" spans="14:74" ht="14.25">
      <c r="N1419" s="84"/>
      <c r="O1419" s="84"/>
      <c r="P1419" s="84"/>
      <c r="Q1419" s="84"/>
      <c r="R1419" s="84"/>
      <c r="S1419" s="84"/>
      <c r="T1419" s="84"/>
      <c r="U1419" s="84"/>
      <c r="V1419" s="84"/>
      <c r="W1419" s="84"/>
      <c r="Y1419" s="84"/>
      <c r="Z1419" s="84"/>
      <c r="AA1419" s="84"/>
      <c r="AB1419" s="84"/>
      <c r="AC1419" s="84"/>
      <c r="AD1419" s="84"/>
      <c r="AE1419" s="84"/>
      <c r="AF1419" s="84"/>
      <c r="AG1419" s="84"/>
      <c r="AH1419" s="84"/>
      <c r="AI1419" s="84"/>
      <c r="AL1419" s="84"/>
      <c r="AM1419" s="84"/>
      <c r="AN1419" s="84"/>
      <c r="AO1419" s="84"/>
      <c r="AP1419" s="84"/>
      <c r="AQ1419" s="84"/>
      <c r="AR1419" s="84"/>
      <c r="AS1419" s="84"/>
      <c r="AT1419" s="84"/>
      <c r="AU1419" s="84"/>
      <c r="AV1419" s="84"/>
      <c r="AY1419" s="84"/>
      <c r="AZ1419" s="84"/>
      <c r="BA1419" s="84"/>
      <c r="BB1419" s="84"/>
      <c r="BC1419" s="84"/>
      <c r="BD1419" s="84"/>
      <c r="BE1419" s="84"/>
      <c r="BF1419" s="942"/>
      <c r="BG1419" s="942"/>
      <c r="BH1419" s="942"/>
      <c r="BI1419" s="84"/>
      <c r="BL1419" s="84"/>
      <c r="BM1419" s="84"/>
      <c r="BN1419" s="84"/>
      <c r="BO1419" s="84"/>
      <c r="BP1419" s="84"/>
      <c r="BQ1419" s="84"/>
      <c r="BR1419" s="84"/>
      <c r="BS1419" s="942"/>
      <c r="BT1419" s="942"/>
      <c r="BU1419" s="942"/>
      <c r="BV1419" s="84"/>
    </row>
    <row r="1420" spans="14:74" ht="14.25">
      <c r="N1420" s="84"/>
      <c r="O1420" s="84"/>
      <c r="P1420" s="84"/>
      <c r="Q1420" s="84"/>
      <c r="R1420" s="84"/>
      <c r="S1420" s="84"/>
      <c r="T1420" s="84"/>
      <c r="U1420" s="84"/>
      <c r="V1420" s="84"/>
      <c r="W1420" s="84"/>
      <c r="Y1420" s="84"/>
      <c r="Z1420" s="84"/>
      <c r="AA1420" s="84"/>
      <c r="AB1420" s="84"/>
      <c r="AC1420" s="84"/>
      <c r="AD1420" s="84"/>
      <c r="AE1420" s="84"/>
      <c r="AF1420" s="84"/>
      <c r="AG1420" s="84"/>
      <c r="AH1420" s="84"/>
      <c r="AI1420" s="84"/>
      <c r="AL1420" s="84"/>
      <c r="AM1420" s="84"/>
      <c r="AN1420" s="84"/>
      <c r="AO1420" s="84"/>
      <c r="AP1420" s="84"/>
      <c r="AQ1420" s="84"/>
      <c r="AR1420" s="84"/>
      <c r="AS1420" s="84"/>
      <c r="AT1420" s="84"/>
      <c r="AU1420" s="84"/>
      <c r="AV1420" s="84"/>
      <c r="AY1420" s="84"/>
      <c r="AZ1420" s="84"/>
      <c r="BA1420" s="84"/>
      <c r="BB1420" s="84"/>
      <c r="BC1420" s="84"/>
      <c r="BD1420" s="84"/>
      <c r="BE1420" s="84"/>
      <c r="BF1420" s="942"/>
      <c r="BG1420" s="942"/>
      <c r="BH1420" s="942"/>
      <c r="BI1420" s="84"/>
      <c r="BL1420" s="84"/>
      <c r="BM1420" s="84"/>
      <c r="BN1420" s="84"/>
      <c r="BO1420" s="84"/>
      <c r="BP1420" s="84"/>
      <c r="BQ1420" s="84"/>
      <c r="BR1420" s="84"/>
      <c r="BS1420" s="942"/>
      <c r="BT1420" s="942"/>
      <c r="BU1420" s="942"/>
      <c r="BV1420" s="84"/>
    </row>
    <row r="1421" spans="14:74" ht="14.25">
      <c r="N1421" s="84"/>
      <c r="O1421" s="84"/>
      <c r="P1421" s="84"/>
      <c r="Q1421" s="84"/>
      <c r="R1421" s="84"/>
      <c r="S1421" s="84"/>
      <c r="T1421" s="84"/>
      <c r="U1421" s="84"/>
      <c r="V1421" s="84"/>
      <c r="W1421" s="84"/>
      <c r="Y1421" s="84"/>
      <c r="Z1421" s="84"/>
      <c r="AA1421" s="84"/>
      <c r="AB1421" s="84"/>
      <c r="AC1421" s="84"/>
      <c r="AD1421" s="84"/>
      <c r="AE1421" s="84"/>
      <c r="AF1421" s="84"/>
      <c r="AG1421" s="84"/>
      <c r="AH1421" s="84"/>
      <c r="AI1421" s="84"/>
      <c r="AL1421" s="84"/>
      <c r="AM1421" s="84"/>
      <c r="AN1421" s="84"/>
      <c r="AO1421" s="84"/>
      <c r="AP1421" s="84"/>
      <c r="AQ1421" s="84"/>
      <c r="AR1421" s="84"/>
      <c r="AS1421" s="84"/>
      <c r="AT1421" s="84"/>
      <c r="AU1421" s="84"/>
      <c r="AV1421" s="84"/>
      <c r="AY1421" s="84"/>
      <c r="AZ1421" s="84"/>
      <c r="BA1421" s="84"/>
      <c r="BB1421" s="84"/>
      <c r="BC1421" s="84"/>
      <c r="BD1421" s="84"/>
      <c r="BE1421" s="84"/>
      <c r="BF1421" s="942"/>
      <c r="BG1421" s="942"/>
      <c r="BH1421" s="942"/>
      <c r="BI1421" s="84"/>
      <c r="BL1421" s="84"/>
      <c r="BM1421" s="84"/>
      <c r="BN1421" s="84"/>
      <c r="BO1421" s="84"/>
      <c r="BP1421" s="84"/>
      <c r="BQ1421" s="84"/>
      <c r="BR1421" s="84"/>
      <c r="BS1421" s="942"/>
      <c r="BT1421" s="942"/>
      <c r="BU1421" s="942"/>
      <c r="BV1421" s="84"/>
    </row>
    <row r="1422" spans="14:74" ht="14.25">
      <c r="N1422" s="84"/>
      <c r="O1422" s="84"/>
      <c r="P1422" s="84"/>
      <c r="Q1422" s="84"/>
      <c r="R1422" s="84"/>
      <c r="S1422" s="84"/>
      <c r="T1422" s="84"/>
      <c r="U1422" s="84"/>
      <c r="V1422" s="84"/>
      <c r="W1422" s="84"/>
      <c r="Y1422" s="84"/>
      <c r="Z1422" s="84"/>
      <c r="AA1422" s="84"/>
      <c r="AB1422" s="84"/>
      <c r="AC1422" s="84"/>
      <c r="AD1422" s="84"/>
      <c r="AE1422" s="84"/>
      <c r="AF1422" s="84"/>
      <c r="AG1422" s="84"/>
      <c r="AH1422" s="84"/>
      <c r="AI1422" s="84"/>
      <c r="AL1422" s="84"/>
      <c r="AM1422" s="84"/>
      <c r="AN1422" s="84"/>
      <c r="AO1422" s="84"/>
      <c r="AP1422" s="84"/>
      <c r="AQ1422" s="84"/>
      <c r="AR1422" s="84"/>
      <c r="AS1422" s="84"/>
      <c r="AT1422" s="84"/>
      <c r="AU1422" s="84"/>
      <c r="AV1422" s="84"/>
      <c r="AY1422" s="84"/>
      <c r="AZ1422" s="84"/>
      <c r="BA1422" s="84"/>
      <c r="BB1422" s="84"/>
      <c r="BC1422" s="84"/>
      <c r="BD1422" s="84"/>
      <c r="BE1422" s="84"/>
      <c r="BF1422" s="942"/>
      <c r="BG1422" s="942"/>
      <c r="BH1422" s="942"/>
      <c r="BI1422" s="84"/>
      <c r="BL1422" s="84"/>
      <c r="BM1422" s="84"/>
      <c r="BN1422" s="84"/>
      <c r="BO1422" s="84"/>
      <c r="BP1422" s="84"/>
      <c r="BQ1422" s="84"/>
      <c r="BR1422" s="84"/>
      <c r="BS1422" s="942"/>
      <c r="BT1422" s="942"/>
      <c r="BU1422" s="942"/>
      <c r="BV1422" s="84"/>
    </row>
    <row r="1423" spans="14:74" ht="14.25">
      <c r="N1423" s="84"/>
      <c r="O1423" s="84"/>
      <c r="P1423" s="84"/>
      <c r="Q1423" s="84"/>
      <c r="R1423" s="84"/>
      <c r="S1423" s="84"/>
      <c r="T1423" s="84"/>
      <c r="U1423" s="84"/>
      <c r="V1423" s="84"/>
      <c r="W1423" s="84"/>
      <c r="Y1423" s="84"/>
      <c r="Z1423" s="84"/>
      <c r="AA1423" s="84"/>
      <c r="AB1423" s="84"/>
      <c r="AC1423" s="84"/>
      <c r="AD1423" s="84"/>
      <c r="AE1423" s="84"/>
      <c r="AF1423" s="84"/>
      <c r="AG1423" s="84"/>
      <c r="AH1423" s="84"/>
      <c r="AI1423" s="84"/>
      <c r="AL1423" s="84"/>
      <c r="AM1423" s="84"/>
      <c r="AN1423" s="84"/>
      <c r="AO1423" s="84"/>
      <c r="AP1423" s="84"/>
      <c r="AQ1423" s="84"/>
      <c r="AR1423" s="84"/>
      <c r="AS1423" s="84"/>
      <c r="AT1423" s="84"/>
      <c r="AU1423" s="84"/>
      <c r="AV1423" s="84"/>
      <c r="AY1423" s="84"/>
      <c r="AZ1423" s="84"/>
      <c r="BA1423" s="84"/>
      <c r="BB1423" s="84"/>
      <c r="BC1423" s="84"/>
      <c r="BD1423" s="84"/>
      <c r="BE1423" s="84"/>
      <c r="BF1423" s="942"/>
      <c r="BG1423" s="942"/>
      <c r="BH1423" s="942"/>
      <c r="BI1423" s="84"/>
      <c r="BL1423" s="84"/>
      <c r="BM1423" s="84"/>
      <c r="BN1423" s="84"/>
      <c r="BO1423" s="84"/>
      <c r="BP1423" s="84"/>
      <c r="BQ1423" s="84"/>
      <c r="BR1423" s="84"/>
      <c r="BS1423" s="942"/>
      <c r="BT1423" s="942"/>
      <c r="BU1423" s="942"/>
      <c r="BV1423" s="84"/>
    </row>
    <row r="1424" spans="14:74" ht="14.25">
      <c r="N1424" s="84"/>
      <c r="O1424" s="84"/>
      <c r="P1424" s="84"/>
      <c r="Q1424" s="84"/>
      <c r="R1424" s="84"/>
      <c r="S1424" s="84"/>
      <c r="T1424" s="84"/>
      <c r="U1424" s="84"/>
      <c r="V1424" s="84"/>
      <c r="W1424" s="84"/>
      <c r="Y1424" s="84"/>
      <c r="Z1424" s="84"/>
      <c r="AA1424" s="84"/>
      <c r="AB1424" s="84"/>
      <c r="AC1424" s="84"/>
      <c r="AD1424" s="84"/>
      <c r="AE1424" s="84"/>
      <c r="AF1424" s="84"/>
      <c r="AG1424" s="84"/>
      <c r="AH1424" s="84"/>
      <c r="AI1424" s="84"/>
      <c r="AL1424" s="84"/>
      <c r="AM1424" s="84"/>
      <c r="AN1424" s="84"/>
      <c r="AO1424" s="84"/>
      <c r="AP1424" s="84"/>
      <c r="AQ1424" s="84"/>
      <c r="AR1424" s="84"/>
      <c r="AS1424" s="84"/>
      <c r="AT1424" s="84"/>
      <c r="AU1424" s="84"/>
      <c r="AV1424" s="84"/>
      <c r="AY1424" s="84"/>
      <c r="AZ1424" s="84"/>
      <c r="BA1424" s="84"/>
      <c r="BB1424" s="84"/>
      <c r="BC1424" s="84"/>
      <c r="BD1424" s="84"/>
      <c r="BE1424" s="84"/>
      <c r="BF1424" s="942"/>
      <c r="BG1424" s="942"/>
      <c r="BH1424" s="942"/>
      <c r="BI1424" s="84"/>
      <c r="BL1424" s="84"/>
      <c r="BM1424" s="84"/>
      <c r="BN1424" s="84"/>
      <c r="BO1424" s="84"/>
      <c r="BP1424" s="84"/>
      <c r="BQ1424" s="84"/>
      <c r="BR1424" s="84"/>
      <c r="BS1424" s="942"/>
      <c r="BT1424" s="942"/>
      <c r="BU1424" s="942"/>
      <c r="BV1424" s="84"/>
    </row>
    <row r="1425" spans="14:74" ht="14.25">
      <c r="N1425" s="84"/>
      <c r="O1425" s="84"/>
      <c r="P1425" s="84"/>
      <c r="Q1425" s="84"/>
      <c r="R1425" s="84"/>
      <c r="S1425" s="84"/>
      <c r="T1425" s="84"/>
      <c r="U1425" s="84"/>
      <c r="V1425" s="84"/>
      <c r="W1425" s="84"/>
      <c r="Y1425" s="84"/>
      <c r="Z1425" s="84"/>
      <c r="AA1425" s="84"/>
      <c r="AB1425" s="84"/>
      <c r="AC1425" s="84"/>
      <c r="AD1425" s="84"/>
      <c r="AE1425" s="84"/>
      <c r="AF1425" s="84"/>
      <c r="AG1425" s="84"/>
      <c r="AH1425" s="84"/>
      <c r="AI1425" s="84"/>
      <c r="AL1425" s="84"/>
      <c r="AM1425" s="84"/>
      <c r="AN1425" s="84"/>
      <c r="AO1425" s="84"/>
      <c r="AP1425" s="84"/>
      <c r="AQ1425" s="84"/>
      <c r="AR1425" s="84"/>
      <c r="AS1425" s="84"/>
      <c r="AT1425" s="84"/>
      <c r="AU1425" s="84"/>
      <c r="AV1425" s="84"/>
      <c r="AY1425" s="84"/>
      <c r="AZ1425" s="84"/>
      <c r="BA1425" s="84"/>
      <c r="BB1425" s="84"/>
      <c r="BC1425" s="84"/>
      <c r="BD1425" s="84"/>
      <c r="BE1425" s="84"/>
      <c r="BF1425" s="942"/>
      <c r="BG1425" s="942"/>
      <c r="BH1425" s="942"/>
      <c r="BI1425" s="84"/>
      <c r="BL1425" s="84"/>
      <c r="BM1425" s="84"/>
      <c r="BN1425" s="84"/>
      <c r="BO1425" s="84"/>
      <c r="BP1425" s="84"/>
      <c r="BQ1425" s="84"/>
      <c r="BR1425" s="84"/>
      <c r="BS1425" s="942"/>
      <c r="BT1425" s="942"/>
      <c r="BU1425" s="942"/>
      <c r="BV1425" s="84"/>
    </row>
    <row r="1426" spans="14:74" ht="14.25">
      <c r="N1426" s="84"/>
      <c r="O1426" s="84"/>
      <c r="P1426" s="84"/>
      <c r="Q1426" s="84"/>
      <c r="R1426" s="84"/>
      <c r="S1426" s="84"/>
      <c r="T1426" s="84"/>
      <c r="U1426" s="84"/>
      <c r="V1426" s="84"/>
      <c r="W1426" s="84"/>
      <c r="Y1426" s="84"/>
      <c r="Z1426" s="84"/>
      <c r="AA1426" s="84"/>
      <c r="AB1426" s="84"/>
      <c r="AC1426" s="84"/>
      <c r="AD1426" s="84"/>
      <c r="AE1426" s="84"/>
      <c r="AF1426" s="84"/>
      <c r="AG1426" s="84"/>
      <c r="AH1426" s="84"/>
      <c r="AI1426" s="84"/>
      <c r="AL1426" s="84"/>
      <c r="AM1426" s="84"/>
      <c r="AN1426" s="84"/>
      <c r="AO1426" s="84"/>
      <c r="AP1426" s="84"/>
      <c r="AQ1426" s="84"/>
      <c r="AR1426" s="84"/>
      <c r="AS1426" s="84"/>
      <c r="AT1426" s="84"/>
      <c r="AU1426" s="84"/>
      <c r="AV1426" s="84"/>
      <c r="AY1426" s="84"/>
      <c r="AZ1426" s="84"/>
      <c r="BA1426" s="84"/>
      <c r="BB1426" s="84"/>
      <c r="BC1426" s="84"/>
      <c r="BD1426" s="84"/>
      <c r="BE1426" s="84"/>
      <c r="BF1426" s="942"/>
      <c r="BG1426" s="942"/>
      <c r="BH1426" s="942"/>
      <c r="BI1426" s="84"/>
      <c r="BL1426" s="84"/>
      <c r="BM1426" s="84"/>
      <c r="BN1426" s="84"/>
      <c r="BO1426" s="84"/>
      <c r="BP1426" s="84"/>
      <c r="BQ1426" s="84"/>
      <c r="BR1426" s="84"/>
      <c r="BS1426" s="942"/>
      <c r="BT1426" s="942"/>
      <c r="BU1426" s="942"/>
      <c r="BV1426" s="84"/>
    </row>
    <row r="1427" spans="14:74" ht="14.25">
      <c r="N1427" s="84"/>
      <c r="O1427" s="84"/>
      <c r="P1427" s="84"/>
      <c r="Q1427" s="84"/>
      <c r="R1427" s="84"/>
      <c r="S1427" s="84"/>
      <c r="T1427" s="84"/>
      <c r="U1427" s="84"/>
      <c r="V1427" s="84"/>
      <c r="W1427" s="84"/>
      <c r="Y1427" s="84"/>
      <c r="Z1427" s="84"/>
      <c r="AA1427" s="84"/>
      <c r="AB1427" s="84"/>
      <c r="AC1427" s="84"/>
      <c r="AD1427" s="84"/>
      <c r="AE1427" s="84"/>
      <c r="AF1427" s="84"/>
      <c r="AG1427" s="84"/>
      <c r="AH1427" s="84"/>
      <c r="AI1427" s="84"/>
      <c r="AL1427" s="84"/>
      <c r="AM1427" s="84"/>
      <c r="AN1427" s="84"/>
      <c r="AO1427" s="84"/>
      <c r="AP1427" s="84"/>
      <c r="AQ1427" s="84"/>
      <c r="AR1427" s="84"/>
      <c r="AS1427" s="84"/>
      <c r="AT1427" s="84"/>
      <c r="AU1427" s="84"/>
      <c r="AV1427" s="84"/>
      <c r="AY1427" s="84"/>
      <c r="AZ1427" s="84"/>
      <c r="BA1427" s="84"/>
      <c r="BB1427" s="84"/>
      <c r="BC1427" s="84"/>
      <c r="BD1427" s="84"/>
      <c r="BE1427" s="84"/>
      <c r="BF1427" s="942"/>
      <c r="BG1427" s="942"/>
      <c r="BH1427" s="942"/>
      <c r="BI1427" s="84"/>
      <c r="BL1427" s="84"/>
      <c r="BM1427" s="84"/>
      <c r="BN1427" s="84"/>
      <c r="BO1427" s="84"/>
      <c r="BP1427" s="84"/>
      <c r="BQ1427" s="84"/>
      <c r="BR1427" s="84"/>
      <c r="BS1427" s="942"/>
      <c r="BT1427" s="942"/>
      <c r="BU1427" s="942"/>
      <c r="BV1427" s="84"/>
    </row>
    <row r="1428" spans="14:74" ht="14.25">
      <c r="N1428" s="84"/>
      <c r="O1428" s="84"/>
      <c r="P1428" s="84"/>
      <c r="Q1428" s="84"/>
      <c r="R1428" s="84"/>
      <c r="S1428" s="84"/>
      <c r="T1428" s="84"/>
      <c r="U1428" s="84"/>
      <c r="V1428" s="84"/>
      <c r="W1428" s="84"/>
      <c r="Y1428" s="84"/>
      <c r="Z1428" s="84"/>
      <c r="AA1428" s="84"/>
      <c r="AB1428" s="84"/>
      <c r="AC1428" s="84"/>
      <c r="AD1428" s="84"/>
      <c r="AE1428" s="84"/>
      <c r="AF1428" s="84"/>
      <c r="AG1428" s="84"/>
      <c r="AH1428" s="84"/>
      <c r="AI1428" s="84"/>
      <c r="AL1428" s="84"/>
      <c r="AM1428" s="84"/>
      <c r="AN1428" s="84"/>
      <c r="AO1428" s="84"/>
      <c r="AP1428" s="84"/>
      <c r="AQ1428" s="84"/>
      <c r="AR1428" s="84"/>
      <c r="AS1428" s="84"/>
      <c r="AT1428" s="84"/>
      <c r="AU1428" s="84"/>
      <c r="AV1428" s="84"/>
      <c r="AY1428" s="84"/>
      <c r="AZ1428" s="84"/>
      <c r="BA1428" s="84"/>
      <c r="BB1428" s="84"/>
      <c r="BC1428" s="84"/>
      <c r="BD1428" s="84"/>
      <c r="BE1428" s="84"/>
      <c r="BF1428" s="942"/>
      <c r="BG1428" s="942"/>
      <c r="BH1428" s="942"/>
      <c r="BI1428" s="84"/>
      <c r="BL1428" s="84"/>
      <c r="BM1428" s="84"/>
      <c r="BN1428" s="84"/>
      <c r="BO1428" s="84"/>
      <c r="BP1428" s="84"/>
      <c r="BQ1428" s="84"/>
      <c r="BR1428" s="84"/>
      <c r="BS1428" s="942"/>
      <c r="BT1428" s="942"/>
      <c r="BU1428" s="942"/>
      <c r="BV1428" s="84"/>
    </row>
    <row r="1429" spans="14:74" ht="14.25">
      <c r="N1429" s="84"/>
      <c r="O1429" s="84"/>
      <c r="P1429" s="84"/>
      <c r="Q1429" s="84"/>
      <c r="R1429" s="84"/>
      <c r="S1429" s="84"/>
      <c r="T1429" s="84"/>
      <c r="U1429" s="84"/>
      <c r="V1429" s="84"/>
      <c r="W1429" s="84"/>
      <c r="Y1429" s="84"/>
      <c r="Z1429" s="84"/>
      <c r="AA1429" s="84"/>
      <c r="AB1429" s="84"/>
      <c r="AC1429" s="84"/>
      <c r="AD1429" s="84"/>
      <c r="AE1429" s="84"/>
      <c r="AF1429" s="84"/>
      <c r="AG1429" s="84"/>
      <c r="AH1429" s="84"/>
      <c r="AI1429" s="84"/>
      <c r="AL1429" s="84"/>
      <c r="AM1429" s="84"/>
      <c r="AN1429" s="84"/>
      <c r="AO1429" s="84"/>
      <c r="AP1429" s="84"/>
      <c r="AQ1429" s="84"/>
      <c r="AR1429" s="84"/>
      <c r="AS1429" s="84"/>
      <c r="AT1429" s="84"/>
      <c r="AU1429" s="84"/>
      <c r="AV1429" s="84"/>
      <c r="AY1429" s="84"/>
      <c r="AZ1429" s="84"/>
      <c r="BA1429" s="84"/>
      <c r="BB1429" s="84"/>
      <c r="BC1429" s="84"/>
      <c r="BD1429" s="84"/>
      <c r="BE1429" s="84"/>
      <c r="BF1429" s="942"/>
      <c r="BG1429" s="942"/>
      <c r="BH1429" s="942"/>
      <c r="BI1429" s="84"/>
      <c r="BL1429" s="84"/>
      <c r="BM1429" s="84"/>
      <c r="BN1429" s="84"/>
      <c r="BO1429" s="84"/>
      <c r="BP1429" s="84"/>
      <c r="BQ1429" s="84"/>
      <c r="BR1429" s="84"/>
      <c r="BS1429" s="942"/>
      <c r="BT1429" s="942"/>
      <c r="BU1429" s="942"/>
      <c r="BV1429" s="84"/>
    </row>
    <row r="1430" spans="14:74" ht="14.25">
      <c r="N1430" s="84"/>
      <c r="O1430" s="84"/>
      <c r="P1430" s="84"/>
      <c r="Q1430" s="84"/>
      <c r="R1430" s="84"/>
      <c r="S1430" s="84"/>
      <c r="T1430" s="84"/>
      <c r="U1430" s="84"/>
      <c r="V1430" s="84"/>
      <c r="W1430" s="84"/>
      <c r="Y1430" s="84"/>
      <c r="Z1430" s="84"/>
      <c r="AA1430" s="84"/>
      <c r="AB1430" s="84"/>
      <c r="AC1430" s="84"/>
      <c r="AD1430" s="84"/>
      <c r="AE1430" s="84"/>
      <c r="AF1430" s="84"/>
      <c r="AG1430" s="84"/>
      <c r="AH1430" s="84"/>
      <c r="AI1430" s="84"/>
      <c r="AL1430" s="84"/>
      <c r="AM1430" s="84"/>
      <c r="AN1430" s="84"/>
      <c r="AO1430" s="84"/>
      <c r="AP1430" s="84"/>
      <c r="AQ1430" s="84"/>
      <c r="AR1430" s="84"/>
      <c r="AS1430" s="84"/>
      <c r="AT1430" s="84"/>
      <c r="AU1430" s="84"/>
      <c r="AV1430" s="84"/>
      <c r="AY1430" s="84"/>
      <c r="AZ1430" s="84"/>
      <c r="BA1430" s="84"/>
      <c r="BB1430" s="84"/>
      <c r="BC1430" s="84"/>
      <c r="BD1430" s="84"/>
      <c r="BE1430" s="84"/>
      <c r="BF1430" s="942"/>
      <c r="BG1430" s="942"/>
      <c r="BH1430" s="942"/>
      <c r="BI1430" s="84"/>
      <c r="BL1430" s="84"/>
      <c r="BM1430" s="84"/>
      <c r="BN1430" s="84"/>
      <c r="BO1430" s="84"/>
      <c r="BP1430" s="84"/>
      <c r="BQ1430" s="84"/>
      <c r="BR1430" s="84"/>
      <c r="BS1430" s="942"/>
      <c r="BT1430" s="942"/>
      <c r="BU1430" s="942"/>
      <c r="BV1430" s="84"/>
    </row>
    <row r="1431" spans="14:74" ht="14.25">
      <c r="N1431" s="84"/>
      <c r="O1431" s="84"/>
      <c r="P1431" s="84"/>
      <c r="Q1431" s="84"/>
      <c r="R1431" s="84"/>
      <c r="S1431" s="84"/>
      <c r="T1431" s="84"/>
      <c r="U1431" s="84"/>
      <c r="V1431" s="84"/>
      <c r="W1431" s="84"/>
      <c r="Y1431" s="84"/>
      <c r="Z1431" s="84"/>
      <c r="AA1431" s="84"/>
      <c r="AB1431" s="84"/>
      <c r="AC1431" s="84"/>
      <c r="AD1431" s="84"/>
      <c r="AE1431" s="84"/>
      <c r="AF1431" s="84"/>
      <c r="AG1431" s="84"/>
      <c r="AH1431" s="84"/>
      <c r="AI1431" s="84"/>
      <c r="AL1431" s="84"/>
      <c r="AM1431" s="84"/>
      <c r="AN1431" s="84"/>
      <c r="AO1431" s="84"/>
      <c r="AP1431" s="84"/>
      <c r="AQ1431" s="84"/>
      <c r="AR1431" s="84"/>
      <c r="AS1431" s="84"/>
      <c r="AT1431" s="84"/>
      <c r="AU1431" s="84"/>
      <c r="AV1431" s="84"/>
      <c r="AY1431" s="84"/>
      <c r="AZ1431" s="84"/>
      <c r="BA1431" s="84"/>
      <c r="BB1431" s="84"/>
      <c r="BC1431" s="84"/>
      <c r="BD1431" s="84"/>
      <c r="BE1431" s="84"/>
      <c r="BF1431" s="942"/>
      <c r="BG1431" s="942"/>
      <c r="BH1431" s="942"/>
      <c r="BI1431" s="84"/>
      <c r="BL1431" s="84"/>
      <c r="BM1431" s="84"/>
      <c r="BN1431" s="84"/>
      <c r="BO1431" s="84"/>
      <c r="BP1431" s="84"/>
      <c r="BQ1431" s="84"/>
      <c r="BR1431" s="84"/>
      <c r="BS1431" s="942"/>
      <c r="BT1431" s="942"/>
      <c r="BU1431" s="942"/>
      <c r="BV1431" s="84"/>
    </row>
    <row r="1432" spans="14:74" ht="14.25">
      <c r="N1432" s="84"/>
      <c r="O1432" s="84"/>
      <c r="P1432" s="84"/>
      <c r="Q1432" s="84"/>
      <c r="R1432" s="84"/>
      <c r="S1432" s="84"/>
      <c r="T1432" s="84"/>
      <c r="U1432" s="84"/>
      <c r="V1432" s="84"/>
      <c r="W1432" s="84"/>
      <c r="Y1432" s="84"/>
      <c r="Z1432" s="84"/>
      <c r="AA1432" s="84"/>
      <c r="AB1432" s="84"/>
      <c r="AC1432" s="84"/>
      <c r="AD1432" s="84"/>
      <c r="AE1432" s="84"/>
      <c r="AF1432" s="84"/>
      <c r="AG1432" s="84"/>
      <c r="AH1432" s="84"/>
      <c r="AI1432" s="84"/>
      <c r="AL1432" s="84"/>
      <c r="AM1432" s="84"/>
      <c r="AN1432" s="84"/>
      <c r="AO1432" s="84"/>
      <c r="AP1432" s="84"/>
      <c r="AQ1432" s="84"/>
      <c r="AR1432" s="84"/>
      <c r="AS1432" s="84"/>
      <c r="AT1432" s="84"/>
      <c r="AU1432" s="84"/>
      <c r="AV1432" s="84"/>
      <c r="AY1432" s="84"/>
      <c r="AZ1432" s="84"/>
      <c r="BA1432" s="84"/>
      <c r="BB1432" s="84"/>
      <c r="BC1432" s="84"/>
      <c r="BD1432" s="84"/>
      <c r="BE1432" s="84"/>
      <c r="BF1432" s="942"/>
      <c r="BG1432" s="942"/>
      <c r="BH1432" s="942"/>
      <c r="BI1432" s="84"/>
      <c r="BL1432" s="84"/>
      <c r="BM1432" s="84"/>
      <c r="BN1432" s="84"/>
      <c r="BO1432" s="84"/>
      <c r="BP1432" s="84"/>
      <c r="BQ1432" s="84"/>
      <c r="BR1432" s="84"/>
      <c r="BS1432" s="942"/>
      <c r="BT1432" s="942"/>
      <c r="BU1432" s="942"/>
      <c r="BV1432" s="84"/>
    </row>
    <row r="1433" spans="14:74" ht="14.25">
      <c r="N1433" s="84"/>
      <c r="O1433" s="84"/>
      <c r="P1433" s="84"/>
      <c r="Q1433" s="84"/>
      <c r="R1433" s="84"/>
      <c r="S1433" s="84"/>
      <c r="T1433" s="84"/>
      <c r="U1433" s="84"/>
      <c r="V1433" s="84"/>
      <c r="W1433" s="84"/>
      <c r="Y1433" s="84"/>
      <c r="Z1433" s="84"/>
      <c r="AA1433" s="84"/>
      <c r="AB1433" s="84"/>
      <c r="AC1433" s="84"/>
      <c r="AD1433" s="84"/>
      <c r="AE1433" s="84"/>
      <c r="AF1433" s="84"/>
      <c r="AG1433" s="84"/>
      <c r="AH1433" s="84"/>
      <c r="AI1433" s="84"/>
      <c r="AL1433" s="84"/>
      <c r="AM1433" s="84"/>
      <c r="AN1433" s="84"/>
      <c r="AO1433" s="84"/>
      <c r="AP1433" s="84"/>
      <c r="AQ1433" s="84"/>
      <c r="AR1433" s="84"/>
      <c r="AS1433" s="84"/>
      <c r="AT1433" s="84"/>
      <c r="AU1433" s="84"/>
      <c r="AV1433" s="84"/>
      <c r="AY1433" s="84"/>
      <c r="AZ1433" s="84"/>
      <c r="BA1433" s="84"/>
      <c r="BB1433" s="84"/>
      <c r="BC1433" s="84"/>
      <c r="BD1433" s="84"/>
      <c r="BE1433" s="84"/>
      <c r="BF1433" s="942"/>
      <c r="BG1433" s="942"/>
      <c r="BH1433" s="942"/>
      <c r="BI1433" s="84"/>
      <c r="BL1433" s="84"/>
      <c r="BM1433" s="84"/>
      <c r="BN1433" s="84"/>
      <c r="BO1433" s="84"/>
      <c r="BP1433" s="84"/>
      <c r="BQ1433" s="84"/>
      <c r="BR1433" s="84"/>
      <c r="BS1433" s="942"/>
      <c r="BT1433" s="942"/>
      <c r="BU1433" s="942"/>
      <c r="BV1433" s="84"/>
    </row>
    <row r="1434" spans="14:74" ht="14.25">
      <c r="N1434" s="84"/>
      <c r="O1434" s="84"/>
      <c r="P1434" s="84"/>
      <c r="Q1434" s="84"/>
      <c r="R1434" s="84"/>
      <c r="S1434" s="84"/>
      <c r="T1434" s="84"/>
      <c r="U1434" s="84"/>
      <c r="V1434" s="84"/>
      <c r="W1434" s="84"/>
      <c r="Y1434" s="84"/>
      <c r="Z1434" s="84"/>
      <c r="AA1434" s="84"/>
      <c r="AB1434" s="84"/>
      <c r="AC1434" s="84"/>
      <c r="AD1434" s="84"/>
      <c r="AE1434" s="84"/>
      <c r="AF1434" s="84"/>
      <c r="AG1434" s="84"/>
      <c r="AH1434" s="84"/>
      <c r="AI1434" s="84"/>
      <c r="AL1434" s="84"/>
      <c r="AM1434" s="84"/>
      <c r="AN1434" s="84"/>
      <c r="AO1434" s="84"/>
      <c r="AP1434" s="84"/>
      <c r="AQ1434" s="84"/>
      <c r="AR1434" s="84"/>
      <c r="AS1434" s="84"/>
      <c r="AT1434" s="84"/>
      <c r="AU1434" s="84"/>
      <c r="AV1434" s="84"/>
      <c r="AY1434" s="84"/>
      <c r="AZ1434" s="84"/>
      <c r="BA1434" s="84"/>
      <c r="BB1434" s="84"/>
      <c r="BC1434" s="84"/>
      <c r="BD1434" s="84"/>
      <c r="BE1434" s="84"/>
      <c r="BF1434" s="942"/>
      <c r="BG1434" s="942"/>
      <c r="BH1434" s="942"/>
      <c r="BI1434" s="84"/>
      <c r="BL1434" s="84"/>
      <c r="BM1434" s="84"/>
      <c r="BN1434" s="84"/>
      <c r="BO1434" s="84"/>
      <c r="BP1434" s="84"/>
      <c r="BQ1434" s="84"/>
      <c r="BR1434" s="84"/>
      <c r="BS1434" s="942"/>
      <c r="BT1434" s="942"/>
      <c r="BU1434" s="942"/>
      <c r="BV1434" s="84"/>
    </row>
    <row r="1435" spans="14:74" ht="14.25">
      <c r="N1435" s="84"/>
      <c r="O1435" s="84"/>
      <c r="P1435" s="84"/>
      <c r="Q1435" s="84"/>
      <c r="R1435" s="84"/>
      <c r="S1435" s="84"/>
      <c r="T1435" s="84"/>
      <c r="U1435" s="84"/>
      <c r="V1435" s="84"/>
      <c r="W1435" s="84"/>
      <c r="Y1435" s="84"/>
      <c r="Z1435" s="84"/>
      <c r="AA1435" s="84"/>
      <c r="AB1435" s="84"/>
      <c r="AC1435" s="84"/>
      <c r="AD1435" s="84"/>
      <c r="AE1435" s="84"/>
      <c r="AF1435" s="84"/>
      <c r="AG1435" s="84"/>
      <c r="AH1435" s="84"/>
      <c r="AI1435" s="84"/>
      <c r="AL1435" s="84"/>
      <c r="AM1435" s="84"/>
      <c r="AN1435" s="84"/>
      <c r="AO1435" s="84"/>
      <c r="AP1435" s="84"/>
      <c r="AQ1435" s="84"/>
      <c r="AR1435" s="84"/>
      <c r="AS1435" s="84"/>
      <c r="AT1435" s="84"/>
      <c r="AU1435" s="84"/>
      <c r="AV1435" s="84"/>
      <c r="AY1435" s="84"/>
      <c r="AZ1435" s="84"/>
      <c r="BA1435" s="84"/>
      <c r="BB1435" s="84"/>
      <c r="BC1435" s="84"/>
      <c r="BD1435" s="84"/>
      <c r="BE1435" s="84"/>
      <c r="BF1435" s="942"/>
      <c r="BG1435" s="942"/>
      <c r="BH1435" s="942"/>
      <c r="BI1435" s="84"/>
      <c r="BL1435" s="84"/>
      <c r="BM1435" s="84"/>
      <c r="BN1435" s="84"/>
      <c r="BO1435" s="84"/>
      <c r="BP1435" s="84"/>
      <c r="BQ1435" s="84"/>
      <c r="BR1435" s="84"/>
      <c r="BS1435" s="942"/>
      <c r="BT1435" s="942"/>
      <c r="BU1435" s="942"/>
      <c r="BV1435" s="84"/>
    </row>
    <row r="1436" spans="14:74" ht="14.25">
      <c r="N1436" s="84"/>
      <c r="O1436" s="84"/>
      <c r="P1436" s="84"/>
      <c r="Q1436" s="84"/>
      <c r="R1436" s="84"/>
      <c r="S1436" s="84"/>
      <c r="T1436" s="84"/>
      <c r="U1436" s="84"/>
      <c r="V1436" s="84"/>
      <c r="W1436" s="84"/>
      <c r="Y1436" s="84"/>
      <c r="Z1436" s="84"/>
      <c r="AA1436" s="84"/>
      <c r="AB1436" s="84"/>
      <c r="AC1436" s="84"/>
      <c r="AD1436" s="84"/>
      <c r="AE1436" s="84"/>
      <c r="AF1436" s="84"/>
      <c r="AG1436" s="84"/>
      <c r="AH1436" s="84"/>
      <c r="AI1436" s="84"/>
      <c r="AL1436" s="84"/>
      <c r="AM1436" s="84"/>
      <c r="AN1436" s="84"/>
      <c r="AO1436" s="84"/>
      <c r="AP1436" s="84"/>
      <c r="AQ1436" s="84"/>
      <c r="AR1436" s="84"/>
      <c r="AS1436" s="84"/>
      <c r="AT1436" s="84"/>
      <c r="AU1436" s="84"/>
      <c r="AV1436" s="84"/>
      <c r="AY1436" s="84"/>
      <c r="AZ1436" s="84"/>
      <c r="BA1436" s="84"/>
      <c r="BB1436" s="84"/>
      <c r="BC1436" s="84"/>
      <c r="BD1436" s="84"/>
      <c r="BE1436" s="84"/>
      <c r="BF1436" s="942"/>
      <c r="BG1436" s="942"/>
      <c r="BH1436" s="942"/>
      <c r="BI1436" s="84"/>
      <c r="BL1436" s="84"/>
      <c r="BM1436" s="84"/>
      <c r="BN1436" s="84"/>
      <c r="BO1436" s="84"/>
      <c r="BP1436" s="84"/>
      <c r="BQ1436" s="84"/>
      <c r="BR1436" s="84"/>
      <c r="BS1436" s="942"/>
      <c r="BT1436" s="942"/>
      <c r="BU1436" s="942"/>
      <c r="BV1436" s="84"/>
    </row>
    <row r="1437" spans="14:74" ht="14.25">
      <c r="N1437" s="84"/>
      <c r="O1437" s="84"/>
      <c r="P1437" s="84"/>
      <c r="Q1437" s="84"/>
      <c r="R1437" s="84"/>
      <c r="S1437" s="84"/>
      <c r="T1437" s="84"/>
      <c r="U1437" s="84"/>
      <c r="V1437" s="84"/>
      <c r="W1437" s="84"/>
      <c r="Y1437" s="84"/>
      <c r="Z1437" s="84"/>
      <c r="AA1437" s="84"/>
      <c r="AB1437" s="84"/>
      <c r="AC1437" s="84"/>
      <c r="AD1437" s="84"/>
      <c r="AE1437" s="84"/>
      <c r="AF1437" s="84"/>
      <c r="AG1437" s="84"/>
      <c r="AH1437" s="84"/>
      <c r="AI1437" s="84"/>
      <c r="AL1437" s="84"/>
      <c r="AM1437" s="84"/>
      <c r="AN1437" s="84"/>
      <c r="AO1437" s="84"/>
      <c r="AP1437" s="84"/>
      <c r="AQ1437" s="84"/>
      <c r="AR1437" s="84"/>
      <c r="AS1437" s="84"/>
      <c r="AT1437" s="84"/>
      <c r="AU1437" s="84"/>
      <c r="AV1437" s="84"/>
      <c r="AY1437" s="84"/>
      <c r="AZ1437" s="84"/>
      <c r="BA1437" s="84"/>
      <c r="BB1437" s="84"/>
      <c r="BC1437" s="84"/>
      <c r="BD1437" s="84"/>
      <c r="BE1437" s="84"/>
      <c r="BF1437" s="942"/>
      <c r="BG1437" s="942"/>
      <c r="BH1437" s="942"/>
      <c r="BI1437" s="84"/>
      <c r="BL1437" s="84"/>
      <c r="BM1437" s="84"/>
      <c r="BN1437" s="84"/>
      <c r="BO1437" s="84"/>
      <c r="BP1437" s="84"/>
      <c r="BQ1437" s="84"/>
      <c r="BR1437" s="84"/>
      <c r="BS1437" s="942"/>
      <c r="BT1437" s="942"/>
      <c r="BU1437" s="942"/>
      <c r="BV1437" s="84"/>
    </row>
    <row r="1438" spans="14:74" ht="14.25">
      <c r="N1438" s="84"/>
      <c r="O1438" s="84"/>
      <c r="P1438" s="84"/>
      <c r="Q1438" s="84"/>
      <c r="R1438" s="84"/>
      <c r="S1438" s="84"/>
      <c r="T1438" s="84"/>
      <c r="U1438" s="84"/>
      <c r="V1438" s="84"/>
      <c r="W1438" s="84"/>
      <c r="Y1438" s="84"/>
      <c r="Z1438" s="84"/>
      <c r="AA1438" s="84"/>
      <c r="AB1438" s="84"/>
      <c r="AC1438" s="84"/>
      <c r="AD1438" s="84"/>
      <c r="AE1438" s="84"/>
      <c r="AF1438" s="84"/>
      <c r="AG1438" s="84"/>
      <c r="AH1438" s="84"/>
      <c r="AI1438" s="84"/>
      <c r="AL1438" s="84"/>
      <c r="AM1438" s="84"/>
      <c r="AN1438" s="84"/>
      <c r="AO1438" s="84"/>
      <c r="AP1438" s="84"/>
      <c r="AQ1438" s="84"/>
      <c r="AR1438" s="84"/>
      <c r="AS1438" s="84"/>
      <c r="AT1438" s="84"/>
      <c r="AU1438" s="84"/>
      <c r="AV1438" s="84"/>
      <c r="AY1438" s="84"/>
      <c r="AZ1438" s="84"/>
      <c r="BA1438" s="84"/>
      <c r="BB1438" s="84"/>
      <c r="BC1438" s="84"/>
      <c r="BD1438" s="84"/>
      <c r="BE1438" s="84"/>
      <c r="BF1438" s="942"/>
      <c r="BG1438" s="942"/>
      <c r="BH1438" s="942"/>
      <c r="BI1438" s="84"/>
      <c r="BL1438" s="84"/>
      <c r="BM1438" s="84"/>
      <c r="BN1438" s="84"/>
      <c r="BO1438" s="84"/>
      <c r="BP1438" s="84"/>
      <c r="BQ1438" s="84"/>
      <c r="BR1438" s="84"/>
      <c r="BS1438" s="942"/>
      <c r="BT1438" s="942"/>
      <c r="BU1438" s="942"/>
      <c r="BV1438" s="84"/>
    </row>
    <row r="1439" spans="14:74" ht="14.25">
      <c r="N1439" s="84"/>
      <c r="O1439" s="84"/>
      <c r="P1439" s="84"/>
      <c r="Q1439" s="84"/>
      <c r="R1439" s="84"/>
      <c r="S1439" s="84"/>
      <c r="T1439" s="84"/>
      <c r="U1439" s="84"/>
      <c r="V1439" s="84"/>
      <c r="W1439" s="84"/>
      <c r="Y1439" s="84"/>
      <c r="Z1439" s="84"/>
      <c r="AA1439" s="84"/>
      <c r="AB1439" s="84"/>
      <c r="AC1439" s="84"/>
      <c r="AD1439" s="84"/>
      <c r="AE1439" s="84"/>
      <c r="AF1439" s="84"/>
      <c r="AG1439" s="84"/>
      <c r="AH1439" s="84"/>
      <c r="AI1439" s="84"/>
      <c r="AL1439" s="84"/>
      <c r="AM1439" s="84"/>
      <c r="AN1439" s="84"/>
      <c r="AO1439" s="84"/>
      <c r="AP1439" s="84"/>
      <c r="AQ1439" s="84"/>
      <c r="AR1439" s="84"/>
      <c r="AS1439" s="84"/>
      <c r="AT1439" s="84"/>
      <c r="AU1439" s="84"/>
      <c r="AV1439" s="84"/>
      <c r="AY1439" s="84"/>
      <c r="AZ1439" s="84"/>
      <c r="BA1439" s="84"/>
      <c r="BB1439" s="84"/>
      <c r="BC1439" s="84"/>
      <c r="BD1439" s="84"/>
      <c r="BE1439" s="84"/>
      <c r="BF1439" s="942"/>
      <c r="BG1439" s="942"/>
      <c r="BH1439" s="942"/>
      <c r="BI1439" s="84"/>
      <c r="BL1439" s="84"/>
      <c r="BM1439" s="84"/>
      <c r="BN1439" s="84"/>
      <c r="BO1439" s="84"/>
      <c r="BP1439" s="84"/>
      <c r="BQ1439" s="84"/>
      <c r="BR1439" s="84"/>
      <c r="BS1439" s="942"/>
      <c r="BT1439" s="942"/>
      <c r="BU1439" s="942"/>
      <c r="BV1439" s="84"/>
    </row>
    <row r="1440" spans="14:74" ht="14.25">
      <c r="N1440" s="84"/>
      <c r="O1440" s="84"/>
      <c r="P1440" s="84"/>
      <c r="Q1440" s="84"/>
      <c r="R1440" s="84"/>
      <c r="S1440" s="84"/>
      <c r="T1440" s="84"/>
      <c r="U1440" s="84"/>
      <c r="V1440" s="84"/>
      <c r="W1440" s="84"/>
      <c r="Y1440" s="84"/>
      <c r="Z1440" s="84"/>
      <c r="AA1440" s="84"/>
      <c r="AB1440" s="84"/>
      <c r="AC1440" s="84"/>
      <c r="AD1440" s="84"/>
      <c r="AE1440" s="84"/>
      <c r="AF1440" s="84"/>
      <c r="AG1440" s="84"/>
      <c r="AH1440" s="84"/>
      <c r="AI1440" s="84"/>
      <c r="AL1440" s="84"/>
      <c r="AM1440" s="84"/>
      <c r="AN1440" s="84"/>
      <c r="AO1440" s="84"/>
      <c r="AP1440" s="84"/>
      <c r="AQ1440" s="84"/>
      <c r="AR1440" s="84"/>
      <c r="AS1440" s="84"/>
      <c r="AT1440" s="84"/>
      <c r="AU1440" s="84"/>
      <c r="AV1440" s="84"/>
      <c r="AY1440" s="84"/>
      <c r="AZ1440" s="84"/>
      <c r="BA1440" s="84"/>
      <c r="BB1440" s="84"/>
      <c r="BC1440" s="84"/>
      <c r="BD1440" s="84"/>
      <c r="BE1440" s="84"/>
      <c r="BF1440" s="942"/>
      <c r="BG1440" s="942"/>
      <c r="BH1440" s="942"/>
      <c r="BI1440" s="84"/>
      <c r="BL1440" s="84"/>
      <c r="BM1440" s="84"/>
      <c r="BN1440" s="84"/>
      <c r="BO1440" s="84"/>
      <c r="BP1440" s="84"/>
      <c r="BQ1440" s="84"/>
      <c r="BR1440" s="84"/>
      <c r="BS1440" s="942"/>
      <c r="BT1440" s="942"/>
      <c r="BU1440" s="942"/>
      <c r="BV1440" s="84"/>
    </row>
    <row r="1441" spans="14:74" ht="14.25">
      <c r="N1441" s="84"/>
      <c r="O1441" s="84"/>
      <c r="P1441" s="84"/>
      <c r="Q1441" s="84"/>
      <c r="R1441" s="84"/>
      <c r="S1441" s="84"/>
      <c r="T1441" s="84"/>
      <c r="U1441" s="84"/>
      <c r="V1441" s="84"/>
      <c r="W1441" s="84"/>
      <c r="Y1441" s="84"/>
      <c r="Z1441" s="84"/>
      <c r="AA1441" s="84"/>
      <c r="AB1441" s="84"/>
      <c r="AC1441" s="84"/>
      <c r="AD1441" s="84"/>
      <c r="AE1441" s="84"/>
      <c r="AF1441" s="84"/>
      <c r="AG1441" s="84"/>
      <c r="AH1441" s="84"/>
      <c r="AI1441" s="84"/>
      <c r="AL1441" s="84"/>
      <c r="AM1441" s="84"/>
      <c r="AN1441" s="84"/>
      <c r="AO1441" s="84"/>
      <c r="AP1441" s="84"/>
      <c r="AQ1441" s="84"/>
      <c r="AR1441" s="84"/>
      <c r="AS1441" s="84"/>
      <c r="AT1441" s="84"/>
      <c r="AU1441" s="84"/>
      <c r="AV1441" s="84"/>
      <c r="AY1441" s="84"/>
      <c r="AZ1441" s="84"/>
      <c r="BA1441" s="84"/>
      <c r="BB1441" s="84"/>
      <c r="BC1441" s="84"/>
      <c r="BD1441" s="84"/>
      <c r="BE1441" s="84"/>
      <c r="BF1441" s="942"/>
      <c r="BG1441" s="942"/>
      <c r="BH1441" s="942"/>
      <c r="BI1441" s="84"/>
      <c r="BL1441" s="84"/>
      <c r="BM1441" s="84"/>
      <c r="BN1441" s="84"/>
      <c r="BO1441" s="84"/>
      <c r="BP1441" s="84"/>
      <c r="BQ1441" s="84"/>
      <c r="BR1441" s="84"/>
      <c r="BS1441" s="942"/>
      <c r="BT1441" s="942"/>
      <c r="BU1441" s="942"/>
      <c r="BV1441" s="84"/>
    </row>
    <row r="1442" spans="14:74" ht="14.25">
      <c r="N1442" s="84"/>
      <c r="O1442" s="84"/>
      <c r="P1442" s="84"/>
      <c r="Q1442" s="84"/>
      <c r="R1442" s="84"/>
      <c r="S1442" s="84"/>
      <c r="T1442" s="84"/>
      <c r="U1442" s="84"/>
      <c r="V1442" s="84"/>
      <c r="W1442" s="84"/>
      <c r="Y1442" s="84"/>
      <c r="Z1442" s="84"/>
      <c r="AA1442" s="84"/>
      <c r="AB1442" s="84"/>
      <c r="AC1442" s="84"/>
      <c r="AD1442" s="84"/>
      <c r="AE1442" s="84"/>
      <c r="AF1442" s="84"/>
      <c r="AG1442" s="84"/>
      <c r="AH1442" s="84"/>
      <c r="AI1442" s="84"/>
      <c r="AL1442" s="84"/>
      <c r="AM1442" s="84"/>
      <c r="AN1442" s="84"/>
      <c r="AO1442" s="84"/>
      <c r="AP1442" s="84"/>
      <c r="AQ1442" s="84"/>
      <c r="AR1442" s="84"/>
      <c r="AS1442" s="84"/>
      <c r="AT1442" s="84"/>
      <c r="AU1442" s="84"/>
      <c r="AV1442" s="84"/>
      <c r="AY1442" s="84"/>
      <c r="AZ1442" s="84"/>
      <c r="BA1442" s="84"/>
      <c r="BB1442" s="84"/>
      <c r="BC1442" s="84"/>
      <c r="BD1442" s="84"/>
      <c r="BE1442" s="84"/>
      <c r="BF1442" s="942"/>
      <c r="BG1442" s="942"/>
      <c r="BH1442" s="942"/>
      <c r="BI1442" s="84"/>
      <c r="BL1442" s="84"/>
      <c r="BM1442" s="84"/>
      <c r="BN1442" s="84"/>
      <c r="BO1442" s="84"/>
      <c r="BP1442" s="84"/>
      <c r="BQ1442" s="84"/>
      <c r="BR1442" s="84"/>
      <c r="BS1442" s="942"/>
      <c r="BT1442" s="942"/>
      <c r="BU1442" s="942"/>
      <c r="BV1442" s="84"/>
    </row>
    <row r="1443" spans="14:74" ht="14.25">
      <c r="N1443" s="84"/>
      <c r="O1443" s="84"/>
      <c r="P1443" s="84"/>
      <c r="Q1443" s="84"/>
      <c r="R1443" s="84"/>
      <c r="S1443" s="84"/>
      <c r="T1443" s="84"/>
      <c r="U1443" s="84"/>
      <c r="V1443" s="84"/>
      <c r="W1443" s="84"/>
      <c r="Y1443" s="84"/>
      <c r="Z1443" s="84"/>
      <c r="AA1443" s="84"/>
      <c r="AB1443" s="84"/>
      <c r="AC1443" s="84"/>
      <c r="AD1443" s="84"/>
      <c r="AE1443" s="84"/>
      <c r="AF1443" s="84"/>
      <c r="AG1443" s="84"/>
      <c r="AH1443" s="84"/>
      <c r="AI1443" s="84"/>
      <c r="AL1443" s="84"/>
      <c r="AM1443" s="84"/>
      <c r="AN1443" s="84"/>
      <c r="AO1443" s="84"/>
      <c r="AP1443" s="84"/>
      <c r="AQ1443" s="84"/>
      <c r="AR1443" s="84"/>
      <c r="AS1443" s="84"/>
      <c r="AT1443" s="84"/>
      <c r="AU1443" s="84"/>
      <c r="AV1443" s="84"/>
      <c r="AY1443" s="84"/>
      <c r="AZ1443" s="84"/>
      <c r="BA1443" s="84"/>
      <c r="BB1443" s="84"/>
      <c r="BC1443" s="84"/>
      <c r="BD1443" s="84"/>
      <c r="BE1443" s="84"/>
      <c r="BF1443" s="942"/>
      <c r="BG1443" s="942"/>
      <c r="BH1443" s="942"/>
      <c r="BI1443" s="84"/>
      <c r="BL1443" s="84"/>
      <c r="BM1443" s="84"/>
      <c r="BN1443" s="84"/>
      <c r="BO1443" s="84"/>
      <c r="BP1443" s="84"/>
      <c r="BQ1443" s="84"/>
      <c r="BR1443" s="84"/>
      <c r="BS1443" s="942"/>
      <c r="BT1443" s="942"/>
      <c r="BU1443" s="942"/>
      <c r="BV1443" s="84"/>
    </row>
    <row r="1444" spans="14:74" ht="14.25">
      <c r="N1444" s="84"/>
      <c r="O1444" s="84"/>
      <c r="P1444" s="84"/>
      <c r="Q1444" s="84"/>
      <c r="R1444" s="84"/>
      <c r="S1444" s="84"/>
      <c r="T1444" s="84"/>
      <c r="U1444" s="84"/>
      <c r="V1444" s="84"/>
      <c r="W1444" s="84"/>
      <c r="Y1444" s="84"/>
      <c r="Z1444" s="84"/>
      <c r="AA1444" s="84"/>
      <c r="AB1444" s="84"/>
      <c r="AC1444" s="84"/>
      <c r="AD1444" s="84"/>
      <c r="AE1444" s="84"/>
      <c r="AF1444" s="84"/>
      <c r="AG1444" s="84"/>
      <c r="AH1444" s="84"/>
      <c r="AI1444" s="84"/>
      <c r="AL1444" s="84"/>
      <c r="AM1444" s="84"/>
      <c r="AN1444" s="84"/>
      <c r="AO1444" s="84"/>
      <c r="AP1444" s="84"/>
      <c r="AQ1444" s="84"/>
      <c r="AR1444" s="84"/>
      <c r="AS1444" s="84"/>
      <c r="AT1444" s="84"/>
      <c r="AU1444" s="84"/>
      <c r="AV1444" s="84"/>
      <c r="AY1444" s="84"/>
      <c r="AZ1444" s="84"/>
      <c r="BA1444" s="84"/>
      <c r="BB1444" s="84"/>
      <c r="BC1444" s="84"/>
      <c r="BD1444" s="84"/>
      <c r="BE1444" s="84"/>
      <c r="BF1444" s="942"/>
      <c r="BG1444" s="942"/>
      <c r="BH1444" s="942"/>
      <c r="BI1444" s="84"/>
      <c r="BL1444" s="84"/>
      <c r="BM1444" s="84"/>
      <c r="BN1444" s="84"/>
      <c r="BO1444" s="84"/>
      <c r="BP1444" s="84"/>
      <c r="BQ1444" s="84"/>
      <c r="BR1444" s="84"/>
      <c r="BS1444" s="942"/>
      <c r="BT1444" s="942"/>
      <c r="BU1444" s="942"/>
      <c r="BV1444" s="84"/>
    </row>
    <row r="1445" spans="14:74" ht="14.25">
      <c r="N1445" s="84"/>
      <c r="O1445" s="84"/>
      <c r="P1445" s="84"/>
      <c r="Q1445" s="84"/>
      <c r="R1445" s="84"/>
      <c r="S1445" s="84"/>
      <c r="T1445" s="84"/>
      <c r="U1445" s="84"/>
      <c r="V1445" s="84"/>
      <c r="W1445" s="84"/>
      <c r="Y1445" s="84"/>
      <c r="Z1445" s="84"/>
      <c r="AA1445" s="84"/>
      <c r="AB1445" s="84"/>
      <c r="AC1445" s="84"/>
      <c r="AD1445" s="84"/>
      <c r="AE1445" s="84"/>
      <c r="AF1445" s="84"/>
      <c r="AG1445" s="84"/>
      <c r="AH1445" s="84"/>
      <c r="AI1445" s="84"/>
      <c r="AL1445" s="84"/>
      <c r="AM1445" s="84"/>
      <c r="AN1445" s="84"/>
      <c r="AO1445" s="84"/>
      <c r="AP1445" s="84"/>
      <c r="AQ1445" s="84"/>
      <c r="AR1445" s="84"/>
      <c r="AS1445" s="84"/>
      <c r="AT1445" s="84"/>
      <c r="AU1445" s="84"/>
      <c r="AV1445" s="84"/>
      <c r="AY1445" s="84"/>
      <c r="AZ1445" s="84"/>
      <c r="BA1445" s="84"/>
      <c r="BB1445" s="84"/>
      <c r="BC1445" s="84"/>
      <c r="BD1445" s="84"/>
      <c r="BE1445" s="84"/>
      <c r="BF1445" s="942"/>
      <c r="BG1445" s="942"/>
      <c r="BH1445" s="942"/>
      <c r="BI1445" s="84"/>
      <c r="BL1445" s="84"/>
      <c r="BM1445" s="84"/>
      <c r="BN1445" s="84"/>
      <c r="BO1445" s="84"/>
      <c r="BP1445" s="84"/>
      <c r="BQ1445" s="84"/>
      <c r="BR1445" s="84"/>
      <c r="BS1445" s="942"/>
      <c r="BT1445" s="942"/>
      <c r="BU1445" s="942"/>
      <c r="BV1445" s="84"/>
    </row>
    <row r="1446" spans="14:74" ht="14.25">
      <c r="N1446" s="84"/>
      <c r="O1446" s="84"/>
      <c r="P1446" s="84"/>
      <c r="Q1446" s="84"/>
      <c r="R1446" s="84"/>
      <c r="S1446" s="84"/>
      <c r="T1446" s="84"/>
      <c r="U1446" s="84"/>
      <c r="V1446" s="84"/>
      <c r="W1446" s="84"/>
      <c r="Y1446" s="84"/>
      <c r="Z1446" s="84"/>
      <c r="AA1446" s="84"/>
      <c r="AB1446" s="84"/>
      <c r="AC1446" s="84"/>
      <c r="AD1446" s="84"/>
      <c r="AE1446" s="84"/>
      <c r="AF1446" s="84"/>
      <c r="AG1446" s="84"/>
      <c r="AH1446" s="84"/>
      <c r="AI1446" s="84"/>
      <c r="AL1446" s="84"/>
      <c r="AM1446" s="84"/>
      <c r="AN1446" s="84"/>
      <c r="AO1446" s="84"/>
      <c r="AP1446" s="84"/>
      <c r="AQ1446" s="84"/>
      <c r="AR1446" s="84"/>
      <c r="AS1446" s="84"/>
      <c r="AT1446" s="84"/>
      <c r="AU1446" s="84"/>
      <c r="AV1446" s="84"/>
      <c r="AY1446" s="84"/>
      <c r="AZ1446" s="84"/>
      <c r="BA1446" s="84"/>
      <c r="BB1446" s="84"/>
      <c r="BC1446" s="84"/>
      <c r="BD1446" s="84"/>
      <c r="BE1446" s="84"/>
      <c r="BF1446" s="942"/>
      <c r="BG1446" s="942"/>
      <c r="BH1446" s="942"/>
      <c r="BI1446" s="84"/>
      <c r="BL1446" s="84"/>
      <c r="BM1446" s="84"/>
      <c r="BN1446" s="84"/>
      <c r="BO1446" s="84"/>
      <c r="BP1446" s="84"/>
      <c r="BQ1446" s="84"/>
      <c r="BR1446" s="84"/>
      <c r="BS1446" s="942"/>
      <c r="BT1446" s="942"/>
      <c r="BU1446" s="942"/>
      <c r="BV1446" s="84"/>
    </row>
    <row r="1447" spans="14:74" ht="14.25">
      <c r="N1447" s="84"/>
      <c r="O1447" s="84"/>
      <c r="P1447" s="84"/>
      <c r="Q1447" s="84"/>
      <c r="R1447" s="84"/>
      <c r="S1447" s="84"/>
      <c r="T1447" s="84"/>
      <c r="U1447" s="84"/>
      <c r="V1447" s="84"/>
      <c r="W1447" s="84"/>
      <c r="Y1447" s="84"/>
      <c r="Z1447" s="84"/>
      <c r="AA1447" s="84"/>
      <c r="AB1447" s="84"/>
      <c r="AC1447" s="84"/>
      <c r="AD1447" s="84"/>
      <c r="AE1447" s="84"/>
      <c r="AF1447" s="84"/>
      <c r="AG1447" s="84"/>
      <c r="AH1447" s="84"/>
      <c r="AI1447" s="84"/>
      <c r="AL1447" s="84"/>
      <c r="AM1447" s="84"/>
      <c r="AN1447" s="84"/>
      <c r="AO1447" s="84"/>
      <c r="AP1447" s="84"/>
      <c r="AQ1447" s="84"/>
      <c r="AR1447" s="84"/>
      <c r="AS1447" s="84"/>
      <c r="AT1447" s="84"/>
      <c r="AU1447" s="84"/>
      <c r="AV1447" s="84"/>
      <c r="AY1447" s="84"/>
      <c r="AZ1447" s="84"/>
      <c r="BA1447" s="84"/>
      <c r="BB1447" s="84"/>
      <c r="BC1447" s="84"/>
      <c r="BD1447" s="84"/>
      <c r="BE1447" s="84"/>
      <c r="BF1447" s="942"/>
      <c r="BG1447" s="942"/>
      <c r="BH1447" s="942"/>
      <c r="BI1447" s="84"/>
      <c r="BL1447" s="84"/>
      <c r="BM1447" s="84"/>
      <c r="BN1447" s="84"/>
      <c r="BO1447" s="84"/>
      <c r="BP1447" s="84"/>
      <c r="BQ1447" s="84"/>
      <c r="BR1447" s="84"/>
      <c r="BS1447" s="942"/>
      <c r="BT1447" s="942"/>
      <c r="BU1447" s="942"/>
      <c r="BV1447" s="84"/>
    </row>
    <row r="1448" spans="14:74" ht="14.25">
      <c r="N1448" s="84"/>
      <c r="O1448" s="84"/>
      <c r="P1448" s="84"/>
      <c r="Q1448" s="84"/>
      <c r="R1448" s="84"/>
      <c r="S1448" s="84"/>
      <c r="T1448" s="84"/>
      <c r="U1448" s="84"/>
      <c r="V1448" s="84"/>
      <c r="W1448" s="84"/>
      <c r="Y1448" s="84"/>
      <c r="Z1448" s="84"/>
      <c r="AA1448" s="84"/>
      <c r="AB1448" s="84"/>
      <c r="AC1448" s="84"/>
      <c r="AD1448" s="84"/>
      <c r="AE1448" s="84"/>
      <c r="AF1448" s="84"/>
      <c r="AG1448" s="84"/>
      <c r="AH1448" s="84"/>
      <c r="AI1448" s="84"/>
      <c r="AL1448" s="84"/>
      <c r="AM1448" s="84"/>
      <c r="AN1448" s="84"/>
      <c r="AO1448" s="84"/>
      <c r="AP1448" s="84"/>
      <c r="AQ1448" s="84"/>
      <c r="AR1448" s="84"/>
      <c r="AS1448" s="84"/>
      <c r="AT1448" s="84"/>
      <c r="AU1448" s="84"/>
      <c r="AV1448" s="84"/>
      <c r="AY1448" s="84"/>
      <c r="AZ1448" s="84"/>
      <c r="BA1448" s="84"/>
      <c r="BB1448" s="84"/>
      <c r="BC1448" s="84"/>
      <c r="BD1448" s="84"/>
      <c r="BE1448" s="84"/>
      <c r="BF1448" s="942"/>
      <c r="BG1448" s="942"/>
      <c r="BH1448" s="942"/>
      <c r="BI1448" s="84"/>
      <c r="BL1448" s="84"/>
      <c r="BM1448" s="84"/>
      <c r="BN1448" s="84"/>
      <c r="BO1448" s="84"/>
      <c r="BP1448" s="84"/>
      <c r="BQ1448" s="84"/>
      <c r="BR1448" s="84"/>
      <c r="BS1448" s="942"/>
      <c r="BT1448" s="942"/>
      <c r="BU1448" s="942"/>
      <c r="BV1448" s="84"/>
    </row>
    <row r="1449" spans="14:74" ht="14.25">
      <c r="N1449" s="84"/>
      <c r="O1449" s="84"/>
      <c r="P1449" s="84"/>
      <c r="Q1449" s="84"/>
      <c r="R1449" s="84"/>
      <c r="S1449" s="84"/>
      <c r="T1449" s="84"/>
      <c r="U1449" s="84"/>
      <c r="V1449" s="84"/>
      <c r="W1449" s="84"/>
      <c r="Y1449" s="84"/>
      <c r="Z1449" s="84"/>
      <c r="AA1449" s="84"/>
      <c r="AB1449" s="84"/>
      <c r="AC1449" s="84"/>
      <c r="AD1449" s="84"/>
      <c r="AE1449" s="84"/>
      <c r="AF1449" s="84"/>
      <c r="AG1449" s="84"/>
      <c r="AH1449" s="84"/>
      <c r="AI1449" s="84"/>
      <c r="AL1449" s="84"/>
      <c r="AM1449" s="84"/>
      <c r="AN1449" s="84"/>
      <c r="AO1449" s="84"/>
      <c r="AP1449" s="84"/>
      <c r="AQ1449" s="84"/>
      <c r="AR1449" s="84"/>
      <c r="AS1449" s="84"/>
      <c r="AT1449" s="84"/>
      <c r="AU1449" s="84"/>
      <c r="AV1449" s="84"/>
      <c r="AY1449" s="84"/>
      <c r="AZ1449" s="84"/>
      <c r="BA1449" s="84"/>
      <c r="BB1449" s="84"/>
      <c r="BC1449" s="84"/>
      <c r="BD1449" s="84"/>
      <c r="BE1449" s="84"/>
      <c r="BF1449" s="942"/>
      <c r="BG1449" s="942"/>
      <c r="BH1449" s="942"/>
      <c r="BI1449" s="84"/>
      <c r="BL1449" s="84"/>
      <c r="BM1449" s="84"/>
      <c r="BN1449" s="84"/>
      <c r="BO1449" s="84"/>
      <c r="BP1449" s="84"/>
      <c r="BQ1449" s="84"/>
      <c r="BR1449" s="84"/>
      <c r="BS1449" s="942"/>
      <c r="BT1449" s="942"/>
      <c r="BU1449" s="942"/>
      <c r="BV1449" s="84"/>
    </row>
    <row r="1450" spans="14:74" ht="14.25">
      <c r="N1450" s="84"/>
      <c r="O1450" s="84"/>
      <c r="P1450" s="84"/>
      <c r="Q1450" s="84"/>
      <c r="R1450" s="84"/>
      <c r="S1450" s="84"/>
      <c r="T1450" s="84"/>
      <c r="U1450" s="84"/>
      <c r="V1450" s="84"/>
      <c r="W1450" s="84"/>
      <c r="Y1450" s="84"/>
      <c r="Z1450" s="84"/>
      <c r="AA1450" s="84"/>
      <c r="AB1450" s="84"/>
      <c r="AC1450" s="84"/>
      <c r="AD1450" s="84"/>
      <c r="AE1450" s="84"/>
      <c r="AF1450" s="84"/>
      <c r="AG1450" s="84"/>
      <c r="AH1450" s="84"/>
      <c r="AI1450" s="84"/>
      <c r="AL1450" s="84"/>
      <c r="AM1450" s="84"/>
      <c r="AN1450" s="84"/>
      <c r="AO1450" s="84"/>
      <c r="AP1450" s="84"/>
      <c r="AQ1450" s="84"/>
      <c r="AR1450" s="84"/>
      <c r="AS1450" s="84"/>
      <c r="AT1450" s="84"/>
      <c r="AU1450" s="84"/>
      <c r="AV1450" s="84"/>
      <c r="AY1450" s="84"/>
      <c r="AZ1450" s="84"/>
      <c r="BA1450" s="84"/>
      <c r="BB1450" s="84"/>
      <c r="BC1450" s="84"/>
      <c r="BD1450" s="84"/>
      <c r="BE1450" s="84"/>
      <c r="BF1450" s="942"/>
      <c r="BG1450" s="942"/>
      <c r="BH1450" s="942"/>
      <c r="BI1450" s="84"/>
      <c r="BL1450" s="84"/>
      <c r="BM1450" s="84"/>
      <c r="BN1450" s="84"/>
      <c r="BO1450" s="84"/>
      <c r="BP1450" s="84"/>
      <c r="BQ1450" s="84"/>
      <c r="BR1450" s="84"/>
      <c r="BS1450" s="942"/>
      <c r="BT1450" s="942"/>
      <c r="BU1450" s="942"/>
      <c r="BV1450" s="84"/>
    </row>
    <row r="1451" spans="14:74" ht="14.25">
      <c r="N1451" s="84"/>
      <c r="O1451" s="84"/>
      <c r="P1451" s="84"/>
      <c r="Q1451" s="84"/>
      <c r="R1451" s="84"/>
      <c r="S1451" s="84"/>
      <c r="T1451" s="84"/>
      <c r="U1451" s="84"/>
      <c r="V1451" s="84"/>
      <c r="W1451" s="84"/>
      <c r="Y1451" s="84"/>
      <c r="Z1451" s="84"/>
      <c r="AA1451" s="84"/>
      <c r="AB1451" s="84"/>
      <c r="AC1451" s="84"/>
      <c r="AD1451" s="84"/>
      <c r="AE1451" s="84"/>
      <c r="AF1451" s="84"/>
      <c r="AG1451" s="84"/>
      <c r="AH1451" s="84"/>
      <c r="AI1451" s="84"/>
      <c r="AL1451" s="84"/>
      <c r="AM1451" s="84"/>
      <c r="AN1451" s="84"/>
      <c r="AO1451" s="84"/>
      <c r="AP1451" s="84"/>
      <c r="AQ1451" s="84"/>
      <c r="AR1451" s="84"/>
      <c r="AS1451" s="84"/>
      <c r="AT1451" s="84"/>
      <c r="AU1451" s="84"/>
      <c r="AV1451" s="84"/>
      <c r="AY1451" s="84"/>
      <c r="AZ1451" s="84"/>
      <c r="BA1451" s="84"/>
      <c r="BB1451" s="84"/>
      <c r="BC1451" s="84"/>
      <c r="BD1451" s="84"/>
      <c r="BE1451" s="84"/>
      <c r="BF1451" s="942"/>
      <c r="BG1451" s="942"/>
      <c r="BH1451" s="942"/>
      <c r="BI1451" s="84"/>
      <c r="BL1451" s="84"/>
      <c r="BM1451" s="84"/>
      <c r="BN1451" s="84"/>
      <c r="BO1451" s="84"/>
      <c r="BP1451" s="84"/>
      <c r="BQ1451" s="84"/>
      <c r="BR1451" s="84"/>
      <c r="BS1451" s="942"/>
      <c r="BT1451" s="942"/>
      <c r="BU1451" s="942"/>
      <c r="BV1451" s="84"/>
    </row>
    <row r="1452" spans="14:74" ht="14.25">
      <c r="N1452" s="84"/>
      <c r="O1452" s="84"/>
      <c r="P1452" s="84"/>
      <c r="Q1452" s="84"/>
      <c r="R1452" s="84"/>
      <c r="S1452" s="84"/>
      <c r="T1452" s="84"/>
      <c r="U1452" s="84"/>
      <c r="V1452" s="84"/>
      <c r="W1452" s="84"/>
      <c r="Y1452" s="84"/>
      <c r="Z1452" s="84"/>
      <c r="AA1452" s="84"/>
      <c r="AB1452" s="84"/>
      <c r="AC1452" s="84"/>
      <c r="AD1452" s="84"/>
      <c r="AE1452" s="84"/>
      <c r="AF1452" s="84"/>
      <c r="AG1452" s="84"/>
      <c r="AH1452" s="84"/>
      <c r="AI1452" s="84"/>
      <c r="AL1452" s="84"/>
      <c r="AM1452" s="84"/>
      <c r="AN1452" s="84"/>
      <c r="AO1452" s="84"/>
      <c r="AP1452" s="84"/>
      <c r="AQ1452" s="84"/>
      <c r="AR1452" s="84"/>
      <c r="AS1452" s="84"/>
      <c r="AT1452" s="84"/>
      <c r="AU1452" s="84"/>
      <c r="AV1452" s="84"/>
      <c r="AY1452" s="84"/>
      <c r="AZ1452" s="84"/>
      <c r="BA1452" s="84"/>
      <c r="BB1452" s="84"/>
      <c r="BC1452" s="84"/>
      <c r="BD1452" s="84"/>
      <c r="BE1452" s="84"/>
      <c r="BF1452" s="942"/>
      <c r="BG1452" s="942"/>
      <c r="BH1452" s="942"/>
      <c r="BI1452" s="84"/>
      <c r="BL1452" s="84"/>
      <c r="BM1452" s="84"/>
      <c r="BN1452" s="84"/>
      <c r="BO1452" s="84"/>
      <c r="BP1452" s="84"/>
      <c r="BQ1452" s="84"/>
      <c r="BR1452" s="84"/>
      <c r="BS1452" s="942"/>
      <c r="BT1452" s="942"/>
      <c r="BU1452" s="942"/>
      <c r="BV1452" s="84"/>
    </row>
    <row r="1453" spans="14:74" ht="14.25">
      <c r="N1453" s="84"/>
      <c r="O1453" s="84"/>
      <c r="P1453" s="84"/>
      <c r="Q1453" s="84"/>
      <c r="R1453" s="84"/>
      <c r="S1453" s="84"/>
      <c r="T1453" s="84"/>
      <c r="U1453" s="84"/>
      <c r="V1453" s="84"/>
      <c r="W1453" s="84"/>
      <c r="Y1453" s="84"/>
      <c r="Z1453" s="84"/>
      <c r="AA1453" s="84"/>
      <c r="AB1453" s="84"/>
      <c r="AC1453" s="84"/>
      <c r="AD1453" s="84"/>
      <c r="AE1453" s="84"/>
      <c r="AF1453" s="84"/>
      <c r="AG1453" s="84"/>
      <c r="AH1453" s="84"/>
      <c r="AI1453" s="84"/>
      <c r="AL1453" s="84"/>
      <c r="AM1453" s="84"/>
      <c r="AN1453" s="84"/>
      <c r="AO1453" s="84"/>
      <c r="AP1453" s="84"/>
      <c r="AQ1453" s="84"/>
      <c r="AR1453" s="84"/>
      <c r="AS1453" s="84"/>
      <c r="AT1453" s="84"/>
      <c r="AU1453" s="84"/>
      <c r="AV1453" s="84"/>
      <c r="AY1453" s="84"/>
      <c r="AZ1453" s="84"/>
      <c r="BA1453" s="84"/>
      <c r="BB1453" s="84"/>
      <c r="BC1453" s="84"/>
      <c r="BD1453" s="84"/>
      <c r="BE1453" s="84"/>
      <c r="BF1453" s="942"/>
      <c r="BG1453" s="942"/>
      <c r="BH1453" s="942"/>
      <c r="BI1453" s="84"/>
      <c r="BL1453" s="84"/>
      <c r="BM1453" s="84"/>
      <c r="BN1453" s="84"/>
      <c r="BO1453" s="84"/>
      <c r="BP1453" s="84"/>
      <c r="BQ1453" s="84"/>
      <c r="BR1453" s="84"/>
      <c r="BS1453" s="942"/>
      <c r="BT1453" s="942"/>
      <c r="BU1453" s="942"/>
      <c r="BV1453" s="84"/>
    </row>
    <row r="1454" spans="14:74" ht="14.25">
      <c r="N1454" s="84"/>
      <c r="O1454" s="84"/>
      <c r="P1454" s="84"/>
      <c r="Q1454" s="84"/>
      <c r="R1454" s="84"/>
      <c r="S1454" s="84"/>
      <c r="T1454" s="84"/>
      <c r="U1454" s="84"/>
      <c r="V1454" s="84"/>
      <c r="W1454" s="84"/>
      <c r="Y1454" s="84"/>
      <c r="Z1454" s="84"/>
      <c r="AA1454" s="84"/>
      <c r="AB1454" s="84"/>
      <c r="AC1454" s="84"/>
      <c r="AD1454" s="84"/>
      <c r="AE1454" s="84"/>
      <c r="AF1454" s="84"/>
      <c r="AG1454" s="84"/>
      <c r="AH1454" s="84"/>
      <c r="AI1454" s="84"/>
      <c r="AL1454" s="84"/>
      <c r="AM1454" s="84"/>
      <c r="AN1454" s="84"/>
      <c r="AO1454" s="84"/>
      <c r="AP1454" s="84"/>
      <c r="AQ1454" s="84"/>
      <c r="AR1454" s="84"/>
      <c r="AS1454" s="84"/>
      <c r="AT1454" s="84"/>
      <c r="AU1454" s="84"/>
      <c r="AV1454" s="84"/>
      <c r="AY1454" s="84"/>
      <c r="AZ1454" s="84"/>
      <c r="BA1454" s="84"/>
      <c r="BB1454" s="84"/>
      <c r="BC1454" s="84"/>
      <c r="BD1454" s="84"/>
      <c r="BE1454" s="84"/>
      <c r="BF1454" s="942"/>
      <c r="BG1454" s="942"/>
      <c r="BH1454" s="942"/>
      <c r="BI1454" s="84"/>
      <c r="BL1454" s="84"/>
      <c r="BM1454" s="84"/>
      <c r="BN1454" s="84"/>
      <c r="BO1454" s="84"/>
      <c r="BP1454" s="84"/>
      <c r="BQ1454" s="84"/>
      <c r="BR1454" s="84"/>
      <c r="BS1454" s="942"/>
      <c r="BT1454" s="942"/>
      <c r="BU1454" s="942"/>
      <c r="BV1454" s="84"/>
    </row>
    <row r="1455" spans="14:74" ht="14.25">
      <c r="N1455" s="84"/>
      <c r="O1455" s="84"/>
      <c r="P1455" s="84"/>
      <c r="Q1455" s="84"/>
      <c r="R1455" s="84"/>
      <c r="S1455" s="84"/>
      <c r="T1455" s="84"/>
      <c r="U1455" s="84"/>
      <c r="V1455" s="84"/>
      <c r="W1455" s="84"/>
      <c r="Y1455" s="84"/>
      <c r="Z1455" s="84"/>
      <c r="AA1455" s="84"/>
      <c r="AB1455" s="84"/>
      <c r="AC1455" s="84"/>
      <c r="AD1455" s="84"/>
      <c r="AE1455" s="84"/>
      <c r="AF1455" s="84"/>
      <c r="AG1455" s="84"/>
      <c r="AH1455" s="84"/>
      <c r="AI1455" s="84"/>
      <c r="AL1455" s="84"/>
      <c r="AM1455" s="84"/>
      <c r="AN1455" s="84"/>
      <c r="AO1455" s="84"/>
      <c r="AP1455" s="84"/>
      <c r="AQ1455" s="84"/>
      <c r="AR1455" s="84"/>
      <c r="AS1455" s="84"/>
      <c r="AT1455" s="84"/>
      <c r="AU1455" s="84"/>
      <c r="AV1455" s="84"/>
      <c r="AY1455" s="84"/>
      <c r="AZ1455" s="84"/>
      <c r="BA1455" s="84"/>
      <c r="BB1455" s="84"/>
      <c r="BC1455" s="84"/>
      <c r="BD1455" s="84"/>
      <c r="BE1455" s="84"/>
      <c r="BF1455" s="942"/>
      <c r="BG1455" s="942"/>
      <c r="BH1455" s="942"/>
      <c r="BI1455" s="84"/>
      <c r="BL1455" s="84"/>
      <c r="BM1455" s="84"/>
      <c r="BN1455" s="84"/>
      <c r="BO1455" s="84"/>
      <c r="BP1455" s="84"/>
      <c r="BQ1455" s="84"/>
      <c r="BR1455" s="84"/>
      <c r="BS1455" s="942"/>
      <c r="BT1455" s="942"/>
      <c r="BU1455" s="942"/>
      <c r="BV1455" s="84"/>
    </row>
    <row r="1456" spans="14:74" ht="14.25">
      <c r="N1456" s="84"/>
      <c r="O1456" s="84"/>
      <c r="P1456" s="84"/>
      <c r="Q1456" s="84"/>
      <c r="R1456" s="84"/>
      <c r="S1456" s="84"/>
      <c r="T1456" s="84"/>
      <c r="U1456" s="84"/>
      <c r="V1456" s="84"/>
      <c r="W1456" s="84"/>
      <c r="Y1456" s="84"/>
      <c r="Z1456" s="84"/>
      <c r="AA1456" s="84"/>
      <c r="AB1456" s="84"/>
      <c r="AC1456" s="84"/>
      <c r="AD1456" s="84"/>
      <c r="AE1456" s="84"/>
      <c r="AF1456" s="84"/>
      <c r="AG1456" s="84"/>
      <c r="AH1456" s="84"/>
      <c r="AI1456" s="84"/>
      <c r="AL1456" s="84"/>
      <c r="AM1456" s="84"/>
      <c r="AN1456" s="84"/>
      <c r="AO1456" s="84"/>
      <c r="AP1456" s="84"/>
      <c r="AQ1456" s="84"/>
      <c r="AR1456" s="84"/>
      <c r="AS1456" s="84"/>
      <c r="AT1456" s="84"/>
      <c r="AU1456" s="84"/>
      <c r="AV1456" s="84"/>
      <c r="AY1456" s="84"/>
      <c r="AZ1456" s="84"/>
      <c r="BA1456" s="84"/>
      <c r="BB1456" s="84"/>
      <c r="BC1456" s="84"/>
      <c r="BD1456" s="84"/>
      <c r="BE1456" s="84"/>
      <c r="BF1456" s="942"/>
      <c r="BG1456" s="942"/>
      <c r="BH1456" s="942"/>
      <c r="BI1456" s="84"/>
      <c r="BL1456" s="84"/>
      <c r="BM1456" s="84"/>
      <c r="BN1456" s="84"/>
      <c r="BO1456" s="84"/>
      <c r="BP1456" s="84"/>
      <c r="BQ1456" s="84"/>
      <c r="BR1456" s="84"/>
      <c r="BS1456" s="942"/>
      <c r="BT1456" s="942"/>
      <c r="BU1456" s="942"/>
      <c r="BV1456" s="84"/>
    </row>
    <row r="1457" spans="14:74" ht="14.25">
      <c r="N1457" s="84"/>
      <c r="O1457" s="84"/>
      <c r="P1457" s="84"/>
      <c r="Q1457" s="84"/>
      <c r="R1457" s="84"/>
      <c r="S1457" s="84"/>
      <c r="T1457" s="84"/>
      <c r="U1457" s="84"/>
      <c r="V1457" s="84"/>
      <c r="W1457" s="84"/>
      <c r="Y1457" s="84"/>
      <c r="Z1457" s="84"/>
      <c r="AA1457" s="84"/>
      <c r="AB1457" s="84"/>
      <c r="AC1457" s="84"/>
      <c r="AD1457" s="84"/>
      <c r="AE1457" s="84"/>
      <c r="AF1457" s="84"/>
      <c r="AG1457" s="84"/>
      <c r="AH1457" s="84"/>
      <c r="AI1457" s="84"/>
      <c r="AL1457" s="84"/>
      <c r="AM1457" s="84"/>
      <c r="AN1457" s="84"/>
      <c r="AO1457" s="84"/>
      <c r="AP1457" s="84"/>
      <c r="AQ1457" s="84"/>
      <c r="AR1457" s="84"/>
      <c r="AS1457" s="84"/>
      <c r="AT1457" s="84"/>
      <c r="AU1457" s="84"/>
      <c r="AV1457" s="84"/>
      <c r="AY1457" s="84"/>
      <c r="AZ1457" s="84"/>
      <c r="BA1457" s="84"/>
      <c r="BB1457" s="84"/>
      <c r="BC1457" s="84"/>
      <c r="BD1457" s="84"/>
      <c r="BE1457" s="84"/>
      <c r="BF1457" s="942"/>
      <c r="BG1457" s="942"/>
      <c r="BH1457" s="942"/>
      <c r="BI1457" s="84"/>
      <c r="BL1457" s="84"/>
      <c r="BM1457" s="84"/>
      <c r="BN1457" s="84"/>
      <c r="BO1457" s="84"/>
      <c r="BP1457" s="84"/>
      <c r="BQ1457" s="84"/>
      <c r="BR1457" s="84"/>
      <c r="BS1457" s="942"/>
      <c r="BT1457" s="942"/>
      <c r="BU1457" s="942"/>
      <c r="BV1457" s="84"/>
    </row>
    <row r="1458" spans="14:74" ht="14.25">
      <c r="N1458" s="84"/>
      <c r="O1458" s="84"/>
      <c r="P1458" s="84"/>
      <c r="Q1458" s="84"/>
      <c r="R1458" s="84"/>
      <c r="S1458" s="84"/>
      <c r="T1458" s="84"/>
      <c r="U1458" s="84"/>
      <c r="V1458" s="84"/>
      <c r="W1458" s="84"/>
      <c r="Y1458" s="84"/>
      <c r="Z1458" s="84"/>
      <c r="AA1458" s="84"/>
      <c r="AB1458" s="84"/>
      <c r="AC1458" s="84"/>
      <c r="AD1458" s="84"/>
      <c r="AE1458" s="84"/>
      <c r="AF1458" s="84"/>
      <c r="AG1458" s="84"/>
      <c r="AH1458" s="84"/>
      <c r="AI1458" s="84"/>
      <c r="AL1458" s="84"/>
      <c r="AM1458" s="84"/>
      <c r="AN1458" s="84"/>
      <c r="AO1458" s="84"/>
      <c r="AP1458" s="84"/>
      <c r="AQ1458" s="84"/>
      <c r="AR1458" s="84"/>
      <c r="AS1458" s="84"/>
      <c r="AT1458" s="84"/>
      <c r="AU1458" s="84"/>
      <c r="AV1458" s="84"/>
      <c r="AY1458" s="84"/>
      <c r="AZ1458" s="84"/>
      <c r="BA1458" s="84"/>
      <c r="BB1458" s="84"/>
      <c r="BC1458" s="84"/>
      <c r="BD1458" s="84"/>
      <c r="BE1458" s="84"/>
      <c r="BF1458" s="942"/>
      <c r="BG1458" s="942"/>
      <c r="BH1458" s="942"/>
      <c r="BI1458" s="84"/>
      <c r="BL1458" s="84"/>
      <c r="BM1458" s="84"/>
      <c r="BN1458" s="84"/>
      <c r="BO1458" s="84"/>
      <c r="BP1458" s="84"/>
      <c r="BQ1458" s="84"/>
      <c r="BR1458" s="84"/>
      <c r="BS1458" s="942"/>
      <c r="BT1458" s="942"/>
      <c r="BU1458" s="942"/>
      <c r="BV1458" s="84"/>
    </row>
    <row r="1459" spans="14:74" ht="14.25">
      <c r="N1459" s="84"/>
      <c r="O1459" s="84"/>
      <c r="P1459" s="84"/>
      <c r="Q1459" s="84"/>
      <c r="R1459" s="84"/>
      <c r="S1459" s="84"/>
      <c r="T1459" s="84"/>
      <c r="U1459" s="84"/>
      <c r="V1459" s="84"/>
      <c r="W1459" s="84"/>
      <c r="Y1459" s="84"/>
      <c r="Z1459" s="84"/>
      <c r="AA1459" s="84"/>
      <c r="AB1459" s="84"/>
      <c r="AC1459" s="84"/>
      <c r="AD1459" s="84"/>
      <c r="AE1459" s="84"/>
      <c r="AF1459" s="84"/>
      <c r="AG1459" s="84"/>
      <c r="AH1459" s="84"/>
      <c r="AI1459" s="84"/>
      <c r="AL1459" s="84"/>
      <c r="AM1459" s="84"/>
      <c r="AN1459" s="84"/>
      <c r="AO1459" s="84"/>
      <c r="AP1459" s="84"/>
      <c r="AQ1459" s="84"/>
      <c r="AR1459" s="84"/>
      <c r="AS1459" s="84"/>
      <c r="AT1459" s="84"/>
      <c r="AU1459" s="84"/>
      <c r="AV1459" s="84"/>
      <c r="AY1459" s="84"/>
      <c r="AZ1459" s="84"/>
      <c r="BA1459" s="84"/>
      <c r="BB1459" s="84"/>
      <c r="BC1459" s="84"/>
      <c r="BD1459" s="84"/>
      <c r="BE1459" s="84"/>
      <c r="BF1459" s="942"/>
      <c r="BG1459" s="942"/>
      <c r="BH1459" s="942"/>
      <c r="BI1459" s="84"/>
      <c r="BL1459" s="84"/>
      <c r="BM1459" s="84"/>
      <c r="BN1459" s="84"/>
      <c r="BO1459" s="84"/>
      <c r="BP1459" s="84"/>
      <c r="BQ1459" s="84"/>
      <c r="BR1459" s="84"/>
      <c r="BS1459" s="942"/>
      <c r="BT1459" s="942"/>
      <c r="BU1459" s="942"/>
      <c r="BV1459" s="84"/>
    </row>
    <row r="1460" spans="14:74" ht="14.25">
      <c r="N1460" s="84"/>
      <c r="O1460" s="84"/>
      <c r="P1460" s="84"/>
      <c r="Q1460" s="84"/>
      <c r="R1460" s="84"/>
      <c r="S1460" s="84"/>
      <c r="T1460" s="84"/>
      <c r="U1460" s="84"/>
      <c r="V1460" s="84"/>
      <c r="W1460" s="84"/>
      <c r="Y1460" s="84"/>
      <c r="Z1460" s="84"/>
      <c r="AA1460" s="84"/>
      <c r="AB1460" s="84"/>
      <c r="AC1460" s="84"/>
      <c r="AD1460" s="84"/>
      <c r="AE1460" s="84"/>
      <c r="AF1460" s="84"/>
      <c r="AG1460" s="84"/>
      <c r="AH1460" s="84"/>
      <c r="AI1460" s="84"/>
      <c r="AL1460" s="84"/>
      <c r="AM1460" s="84"/>
      <c r="AN1460" s="84"/>
      <c r="AO1460" s="84"/>
      <c r="AP1460" s="84"/>
      <c r="AQ1460" s="84"/>
      <c r="AR1460" s="84"/>
      <c r="AS1460" s="84"/>
      <c r="AT1460" s="84"/>
      <c r="AU1460" s="84"/>
      <c r="AV1460" s="84"/>
      <c r="AY1460" s="84"/>
      <c r="AZ1460" s="84"/>
      <c r="BA1460" s="84"/>
      <c r="BB1460" s="84"/>
      <c r="BC1460" s="84"/>
      <c r="BD1460" s="84"/>
      <c r="BE1460" s="84"/>
      <c r="BF1460" s="942"/>
      <c r="BG1460" s="942"/>
      <c r="BH1460" s="942"/>
      <c r="BI1460" s="84"/>
      <c r="BL1460" s="84"/>
      <c r="BM1460" s="84"/>
      <c r="BN1460" s="84"/>
      <c r="BO1460" s="84"/>
      <c r="BP1460" s="84"/>
      <c r="BQ1460" s="84"/>
      <c r="BR1460" s="84"/>
      <c r="BS1460" s="942"/>
      <c r="BT1460" s="942"/>
      <c r="BU1460" s="942"/>
      <c r="BV1460" s="84"/>
    </row>
    <row r="1461" spans="14:74" ht="14.25">
      <c r="N1461" s="84"/>
      <c r="O1461" s="84"/>
      <c r="P1461" s="84"/>
      <c r="Q1461" s="84"/>
      <c r="R1461" s="84"/>
      <c r="S1461" s="84"/>
      <c r="T1461" s="84"/>
      <c r="U1461" s="84"/>
      <c r="V1461" s="84"/>
      <c r="W1461" s="84"/>
      <c r="Y1461" s="84"/>
      <c r="Z1461" s="84"/>
      <c r="AA1461" s="84"/>
      <c r="AB1461" s="84"/>
      <c r="AC1461" s="84"/>
      <c r="AD1461" s="84"/>
      <c r="AE1461" s="84"/>
      <c r="AF1461" s="84"/>
      <c r="AG1461" s="84"/>
      <c r="AH1461" s="84"/>
      <c r="AI1461" s="84"/>
      <c r="AL1461" s="84"/>
      <c r="AM1461" s="84"/>
      <c r="AN1461" s="84"/>
      <c r="AO1461" s="84"/>
      <c r="AP1461" s="84"/>
      <c r="AQ1461" s="84"/>
      <c r="AR1461" s="84"/>
      <c r="AS1461" s="84"/>
      <c r="AT1461" s="84"/>
      <c r="AU1461" s="84"/>
      <c r="AV1461" s="84"/>
      <c r="AY1461" s="84"/>
      <c r="AZ1461" s="84"/>
      <c r="BA1461" s="84"/>
      <c r="BB1461" s="84"/>
      <c r="BC1461" s="84"/>
      <c r="BD1461" s="84"/>
      <c r="BE1461" s="84"/>
      <c r="BF1461" s="942"/>
      <c r="BG1461" s="942"/>
      <c r="BH1461" s="942"/>
      <c r="BI1461" s="84"/>
      <c r="BL1461" s="84"/>
      <c r="BM1461" s="84"/>
      <c r="BN1461" s="84"/>
      <c r="BO1461" s="84"/>
      <c r="BP1461" s="84"/>
      <c r="BQ1461" s="84"/>
      <c r="BR1461" s="84"/>
      <c r="BS1461" s="942"/>
      <c r="BT1461" s="942"/>
      <c r="BU1461" s="942"/>
      <c r="BV1461" s="84"/>
    </row>
    <row r="1462" spans="14:74" ht="14.25">
      <c r="N1462" s="84"/>
      <c r="O1462" s="84"/>
      <c r="P1462" s="84"/>
      <c r="Q1462" s="84"/>
      <c r="R1462" s="84"/>
      <c r="S1462" s="84"/>
      <c r="T1462" s="84"/>
      <c r="U1462" s="84"/>
      <c r="V1462" s="84"/>
      <c r="W1462" s="84"/>
      <c r="Y1462" s="84"/>
      <c r="Z1462" s="84"/>
      <c r="AA1462" s="84"/>
      <c r="AB1462" s="84"/>
      <c r="AC1462" s="84"/>
      <c r="AD1462" s="84"/>
      <c r="AE1462" s="84"/>
      <c r="AF1462" s="84"/>
      <c r="AG1462" s="84"/>
      <c r="AH1462" s="84"/>
      <c r="AI1462" s="84"/>
      <c r="AL1462" s="84"/>
      <c r="AM1462" s="84"/>
      <c r="AN1462" s="84"/>
      <c r="AO1462" s="84"/>
      <c r="AP1462" s="84"/>
      <c r="AQ1462" s="84"/>
      <c r="AR1462" s="84"/>
      <c r="AS1462" s="84"/>
      <c r="AT1462" s="84"/>
      <c r="AU1462" s="84"/>
      <c r="AV1462" s="84"/>
      <c r="AY1462" s="84"/>
      <c r="AZ1462" s="84"/>
      <c r="BA1462" s="84"/>
      <c r="BB1462" s="84"/>
      <c r="BC1462" s="84"/>
      <c r="BD1462" s="84"/>
      <c r="BE1462" s="84"/>
      <c r="BF1462" s="942"/>
      <c r="BG1462" s="942"/>
      <c r="BH1462" s="942"/>
      <c r="BI1462" s="84"/>
      <c r="BL1462" s="84"/>
      <c r="BM1462" s="84"/>
      <c r="BN1462" s="84"/>
      <c r="BO1462" s="84"/>
      <c r="BP1462" s="84"/>
      <c r="BQ1462" s="84"/>
      <c r="BR1462" s="84"/>
      <c r="BS1462" s="942"/>
      <c r="BT1462" s="942"/>
      <c r="BU1462" s="942"/>
      <c r="BV1462" s="84"/>
    </row>
    <row r="1463" spans="14:74" ht="14.25">
      <c r="N1463" s="84"/>
      <c r="O1463" s="84"/>
      <c r="P1463" s="84"/>
      <c r="Q1463" s="84"/>
      <c r="R1463" s="84"/>
      <c r="S1463" s="84"/>
      <c r="T1463" s="84"/>
      <c r="U1463" s="84"/>
      <c r="V1463" s="84"/>
      <c r="W1463" s="84"/>
      <c r="Y1463" s="84"/>
      <c r="Z1463" s="84"/>
      <c r="AA1463" s="84"/>
      <c r="AB1463" s="84"/>
      <c r="AC1463" s="84"/>
      <c r="AD1463" s="84"/>
      <c r="AE1463" s="84"/>
      <c r="AF1463" s="84"/>
      <c r="AG1463" s="84"/>
      <c r="AH1463" s="84"/>
      <c r="AI1463" s="84"/>
      <c r="AL1463" s="84"/>
      <c r="AM1463" s="84"/>
      <c r="AN1463" s="84"/>
      <c r="AO1463" s="84"/>
      <c r="AP1463" s="84"/>
      <c r="AQ1463" s="84"/>
      <c r="AR1463" s="84"/>
      <c r="AS1463" s="84"/>
      <c r="AT1463" s="84"/>
      <c r="AU1463" s="84"/>
      <c r="AV1463" s="84"/>
      <c r="AY1463" s="84"/>
      <c r="AZ1463" s="84"/>
      <c r="BA1463" s="84"/>
      <c r="BB1463" s="84"/>
      <c r="BC1463" s="84"/>
      <c r="BD1463" s="84"/>
      <c r="BE1463" s="84"/>
      <c r="BF1463" s="942"/>
      <c r="BG1463" s="942"/>
      <c r="BH1463" s="942"/>
      <c r="BI1463" s="84"/>
      <c r="BL1463" s="84"/>
      <c r="BM1463" s="84"/>
      <c r="BN1463" s="84"/>
      <c r="BO1463" s="84"/>
      <c r="BP1463" s="84"/>
      <c r="BQ1463" s="84"/>
      <c r="BR1463" s="84"/>
      <c r="BS1463" s="942"/>
      <c r="BT1463" s="942"/>
      <c r="BU1463" s="942"/>
      <c r="BV1463" s="84"/>
    </row>
    <row r="1464" spans="14:74" ht="14.25">
      <c r="N1464" s="84"/>
      <c r="O1464" s="84"/>
      <c r="P1464" s="84"/>
      <c r="Q1464" s="84"/>
      <c r="R1464" s="84"/>
      <c r="S1464" s="84"/>
      <c r="T1464" s="84"/>
      <c r="U1464" s="84"/>
      <c r="V1464" s="84"/>
      <c r="W1464" s="84"/>
      <c r="Y1464" s="84"/>
      <c r="Z1464" s="84"/>
      <c r="AA1464" s="84"/>
      <c r="AB1464" s="84"/>
      <c r="AC1464" s="84"/>
      <c r="AD1464" s="84"/>
      <c r="AE1464" s="84"/>
      <c r="AF1464" s="84"/>
      <c r="AG1464" s="84"/>
      <c r="AH1464" s="84"/>
      <c r="AI1464" s="84"/>
      <c r="AL1464" s="84"/>
      <c r="AM1464" s="84"/>
      <c r="AN1464" s="84"/>
      <c r="AO1464" s="84"/>
      <c r="AP1464" s="84"/>
      <c r="AQ1464" s="84"/>
      <c r="AR1464" s="84"/>
      <c r="AS1464" s="84"/>
      <c r="AT1464" s="84"/>
      <c r="AU1464" s="84"/>
      <c r="AV1464" s="84"/>
      <c r="AY1464" s="84"/>
      <c r="AZ1464" s="84"/>
      <c r="BA1464" s="84"/>
      <c r="BB1464" s="84"/>
      <c r="BC1464" s="84"/>
      <c r="BD1464" s="84"/>
      <c r="BE1464" s="84"/>
      <c r="BF1464" s="942"/>
      <c r="BG1464" s="942"/>
      <c r="BH1464" s="942"/>
      <c r="BI1464" s="84"/>
      <c r="BL1464" s="84"/>
      <c r="BM1464" s="84"/>
      <c r="BN1464" s="84"/>
      <c r="BO1464" s="84"/>
      <c r="BP1464" s="84"/>
      <c r="BQ1464" s="84"/>
      <c r="BR1464" s="84"/>
      <c r="BS1464" s="942"/>
      <c r="BT1464" s="942"/>
      <c r="BU1464" s="942"/>
      <c r="BV1464" s="84"/>
    </row>
    <row r="1465" spans="14:74" ht="14.25">
      <c r="N1465" s="84"/>
      <c r="O1465" s="84"/>
      <c r="P1465" s="84"/>
      <c r="Q1465" s="84"/>
      <c r="R1465" s="84"/>
      <c r="S1465" s="84"/>
      <c r="T1465" s="84"/>
      <c r="U1465" s="84"/>
      <c r="V1465" s="84"/>
      <c r="W1465" s="84"/>
      <c r="Y1465" s="84"/>
      <c r="Z1465" s="84"/>
      <c r="AA1465" s="84"/>
      <c r="AB1465" s="84"/>
      <c r="AC1465" s="84"/>
      <c r="AD1465" s="84"/>
      <c r="AE1465" s="84"/>
      <c r="AF1465" s="84"/>
      <c r="AG1465" s="84"/>
      <c r="AH1465" s="84"/>
      <c r="AI1465" s="84"/>
      <c r="AL1465" s="84"/>
      <c r="AM1465" s="84"/>
      <c r="AN1465" s="84"/>
      <c r="AO1465" s="84"/>
      <c r="AP1465" s="84"/>
      <c r="AQ1465" s="84"/>
      <c r="AR1465" s="84"/>
      <c r="AS1465" s="84"/>
      <c r="AT1465" s="84"/>
      <c r="AU1465" s="84"/>
      <c r="AV1465" s="84"/>
      <c r="AY1465" s="84"/>
      <c r="AZ1465" s="84"/>
      <c r="BA1465" s="84"/>
      <c r="BB1465" s="84"/>
      <c r="BC1465" s="84"/>
      <c r="BD1465" s="84"/>
      <c r="BE1465" s="84"/>
      <c r="BF1465" s="942"/>
      <c r="BG1465" s="942"/>
      <c r="BH1465" s="942"/>
      <c r="BI1465" s="84"/>
      <c r="BL1465" s="84"/>
      <c r="BM1465" s="84"/>
      <c r="BN1465" s="84"/>
      <c r="BO1465" s="84"/>
      <c r="BP1465" s="84"/>
      <c r="BQ1465" s="84"/>
      <c r="BR1465" s="84"/>
      <c r="BS1465" s="942"/>
      <c r="BT1465" s="942"/>
      <c r="BU1465" s="942"/>
      <c r="BV1465" s="84"/>
    </row>
    <row r="1466" spans="14:74" ht="14.25">
      <c r="N1466" s="84"/>
      <c r="O1466" s="84"/>
      <c r="P1466" s="84"/>
      <c r="Q1466" s="84"/>
      <c r="R1466" s="84"/>
      <c r="S1466" s="84"/>
      <c r="T1466" s="84"/>
      <c r="U1466" s="84"/>
      <c r="V1466" s="84"/>
      <c r="W1466" s="84"/>
      <c r="Y1466" s="84"/>
      <c r="Z1466" s="84"/>
      <c r="AA1466" s="84"/>
      <c r="AB1466" s="84"/>
      <c r="AC1466" s="84"/>
      <c r="AD1466" s="84"/>
      <c r="AE1466" s="84"/>
      <c r="AF1466" s="84"/>
      <c r="AG1466" s="84"/>
      <c r="AH1466" s="84"/>
      <c r="AI1466" s="84"/>
      <c r="AL1466" s="84"/>
      <c r="AM1466" s="84"/>
      <c r="AN1466" s="84"/>
      <c r="AO1466" s="84"/>
      <c r="AP1466" s="84"/>
      <c r="AQ1466" s="84"/>
      <c r="AR1466" s="84"/>
      <c r="AS1466" s="84"/>
      <c r="AT1466" s="84"/>
      <c r="AU1466" s="84"/>
      <c r="AV1466" s="84"/>
      <c r="AY1466" s="84"/>
      <c r="AZ1466" s="84"/>
      <c r="BA1466" s="84"/>
      <c r="BB1466" s="84"/>
      <c r="BC1466" s="84"/>
      <c r="BD1466" s="84"/>
      <c r="BE1466" s="84"/>
      <c r="BF1466" s="942"/>
      <c r="BG1466" s="942"/>
      <c r="BH1466" s="942"/>
      <c r="BI1466" s="84"/>
      <c r="BL1466" s="84"/>
      <c r="BM1466" s="84"/>
      <c r="BN1466" s="84"/>
      <c r="BO1466" s="84"/>
      <c r="BP1466" s="84"/>
      <c r="BQ1466" s="84"/>
      <c r="BR1466" s="84"/>
      <c r="BS1466" s="942"/>
      <c r="BT1466" s="942"/>
      <c r="BU1466" s="942"/>
      <c r="BV1466" s="84"/>
    </row>
    <row r="1467" spans="14:74" ht="14.25">
      <c r="N1467" s="84"/>
      <c r="O1467" s="84"/>
      <c r="P1467" s="84"/>
      <c r="Q1467" s="84"/>
      <c r="R1467" s="84"/>
      <c r="S1467" s="84"/>
      <c r="T1467" s="84"/>
      <c r="U1467" s="84"/>
      <c r="V1467" s="84"/>
      <c r="W1467" s="84"/>
      <c r="Y1467" s="84"/>
      <c r="Z1467" s="84"/>
      <c r="AA1467" s="84"/>
      <c r="AB1467" s="84"/>
      <c r="AC1467" s="84"/>
      <c r="AD1467" s="84"/>
      <c r="AE1467" s="84"/>
      <c r="AF1467" s="84"/>
      <c r="AG1467" s="84"/>
      <c r="AH1467" s="84"/>
      <c r="AI1467" s="84"/>
      <c r="AL1467" s="84"/>
      <c r="AM1467" s="84"/>
      <c r="AN1467" s="84"/>
      <c r="AO1467" s="84"/>
      <c r="AP1467" s="84"/>
      <c r="AQ1467" s="84"/>
      <c r="AR1467" s="84"/>
      <c r="AS1467" s="84"/>
      <c r="AT1467" s="84"/>
      <c r="AU1467" s="84"/>
      <c r="AV1467" s="84"/>
      <c r="AY1467" s="84"/>
      <c r="AZ1467" s="84"/>
      <c r="BA1467" s="84"/>
      <c r="BB1467" s="84"/>
      <c r="BC1467" s="84"/>
      <c r="BD1467" s="84"/>
      <c r="BE1467" s="84"/>
      <c r="BF1467" s="942"/>
      <c r="BG1467" s="942"/>
      <c r="BH1467" s="942"/>
      <c r="BI1467" s="84"/>
      <c r="BL1467" s="84"/>
      <c r="BM1467" s="84"/>
      <c r="BN1467" s="84"/>
      <c r="BO1467" s="84"/>
      <c r="BP1467" s="84"/>
      <c r="BQ1467" s="84"/>
      <c r="BR1467" s="84"/>
      <c r="BS1467" s="942"/>
      <c r="BT1467" s="942"/>
      <c r="BU1467" s="942"/>
      <c r="BV1467" s="84"/>
    </row>
    <row r="1468" spans="14:74" ht="14.25">
      <c r="N1468" s="84"/>
      <c r="O1468" s="84"/>
      <c r="P1468" s="84"/>
      <c r="Q1468" s="84"/>
      <c r="R1468" s="84"/>
      <c r="S1468" s="84"/>
      <c r="T1468" s="84"/>
      <c r="U1468" s="84"/>
      <c r="V1468" s="84"/>
      <c r="W1468" s="84"/>
      <c r="Y1468" s="84"/>
      <c r="Z1468" s="84"/>
      <c r="AA1468" s="84"/>
      <c r="AB1468" s="84"/>
      <c r="AC1468" s="84"/>
      <c r="AD1468" s="84"/>
      <c r="AE1468" s="84"/>
      <c r="AF1468" s="84"/>
      <c r="AG1468" s="84"/>
      <c r="AH1468" s="84"/>
      <c r="AI1468" s="84"/>
      <c r="AL1468" s="84"/>
      <c r="AM1468" s="84"/>
      <c r="AN1468" s="84"/>
      <c r="AO1468" s="84"/>
      <c r="AP1468" s="84"/>
      <c r="AQ1468" s="84"/>
      <c r="AR1468" s="84"/>
      <c r="AS1468" s="84"/>
      <c r="AT1468" s="84"/>
      <c r="AU1468" s="84"/>
      <c r="AV1468" s="84"/>
      <c r="AY1468" s="84"/>
      <c r="AZ1468" s="84"/>
      <c r="BA1468" s="84"/>
      <c r="BB1468" s="84"/>
      <c r="BC1468" s="84"/>
      <c r="BD1468" s="84"/>
      <c r="BE1468" s="84"/>
      <c r="BF1468" s="942"/>
      <c r="BG1468" s="942"/>
      <c r="BH1468" s="942"/>
      <c r="BI1468" s="84"/>
      <c r="BL1468" s="84"/>
      <c r="BM1468" s="84"/>
      <c r="BN1468" s="84"/>
      <c r="BO1468" s="84"/>
      <c r="BP1468" s="84"/>
      <c r="BQ1468" s="84"/>
      <c r="BR1468" s="84"/>
      <c r="BS1468" s="942"/>
      <c r="BT1468" s="942"/>
      <c r="BU1468" s="942"/>
      <c r="BV1468" s="84"/>
    </row>
    <row r="1469" spans="14:74" ht="14.25">
      <c r="N1469" s="84"/>
      <c r="O1469" s="84"/>
      <c r="P1469" s="84"/>
      <c r="Q1469" s="84"/>
      <c r="R1469" s="84"/>
      <c r="S1469" s="84"/>
      <c r="T1469" s="84"/>
      <c r="U1469" s="84"/>
      <c r="V1469" s="84"/>
      <c r="W1469" s="84"/>
      <c r="Y1469" s="84"/>
      <c r="Z1469" s="84"/>
      <c r="AA1469" s="84"/>
      <c r="AB1469" s="84"/>
      <c r="AC1469" s="84"/>
      <c r="AD1469" s="84"/>
      <c r="AE1469" s="84"/>
      <c r="AF1469" s="84"/>
      <c r="AG1469" s="84"/>
      <c r="AH1469" s="84"/>
      <c r="AI1469" s="84"/>
      <c r="AL1469" s="84"/>
      <c r="AM1469" s="84"/>
      <c r="AN1469" s="84"/>
      <c r="AO1469" s="84"/>
      <c r="AP1469" s="84"/>
      <c r="AQ1469" s="84"/>
      <c r="AR1469" s="84"/>
      <c r="AS1469" s="84"/>
      <c r="AT1469" s="84"/>
      <c r="AU1469" s="84"/>
      <c r="AV1469" s="84"/>
      <c r="AY1469" s="84"/>
      <c r="AZ1469" s="84"/>
      <c r="BA1469" s="84"/>
      <c r="BB1469" s="84"/>
      <c r="BC1469" s="84"/>
      <c r="BD1469" s="84"/>
      <c r="BE1469" s="84"/>
      <c r="BF1469" s="942"/>
      <c r="BG1469" s="942"/>
      <c r="BH1469" s="942"/>
      <c r="BI1469" s="84"/>
      <c r="BL1469" s="84"/>
      <c r="BM1469" s="84"/>
      <c r="BN1469" s="84"/>
      <c r="BO1469" s="84"/>
      <c r="BP1469" s="84"/>
      <c r="BQ1469" s="84"/>
      <c r="BR1469" s="84"/>
      <c r="BS1469" s="942"/>
      <c r="BT1469" s="942"/>
      <c r="BU1469" s="942"/>
      <c r="BV1469" s="84"/>
    </row>
    <row r="1470" spans="14:74" ht="14.25">
      <c r="N1470" s="84"/>
      <c r="O1470" s="84"/>
      <c r="P1470" s="84"/>
      <c r="Q1470" s="84"/>
      <c r="R1470" s="84"/>
      <c r="S1470" s="84"/>
      <c r="T1470" s="84"/>
      <c r="U1470" s="84"/>
      <c r="V1470" s="84"/>
      <c r="W1470" s="84"/>
      <c r="Y1470" s="84"/>
      <c r="Z1470" s="84"/>
      <c r="AA1470" s="84"/>
      <c r="AB1470" s="84"/>
      <c r="AC1470" s="84"/>
      <c r="AD1470" s="84"/>
      <c r="AE1470" s="84"/>
      <c r="AF1470" s="84"/>
      <c r="AG1470" s="84"/>
      <c r="AH1470" s="84"/>
      <c r="AI1470" s="84"/>
      <c r="AL1470" s="84"/>
      <c r="AM1470" s="84"/>
      <c r="AN1470" s="84"/>
      <c r="AO1470" s="84"/>
      <c r="AP1470" s="84"/>
      <c r="AQ1470" s="84"/>
      <c r="AR1470" s="84"/>
      <c r="AS1470" s="84"/>
      <c r="AT1470" s="84"/>
      <c r="AU1470" s="84"/>
      <c r="AV1470" s="84"/>
      <c r="AY1470" s="84"/>
      <c r="AZ1470" s="84"/>
      <c r="BA1470" s="84"/>
      <c r="BB1470" s="84"/>
      <c r="BC1470" s="84"/>
      <c r="BD1470" s="84"/>
      <c r="BE1470" s="84"/>
      <c r="BF1470" s="942"/>
      <c r="BG1470" s="942"/>
      <c r="BH1470" s="942"/>
      <c r="BI1470" s="84"/>
      <c r="BL1470" s="84"/>
      <c r="BM1470" s="84"/>
      <c r="BN1470" s="84"/>
      <c r="BO1470" s="84"/>
      <c r="BP1470" s="84"/>
      <c r="BQ1470" s="84"/>
      <c r="BR1470" s="84"/>
      <c r="BS1470" s="942"/>
      <c r="BT1470" s="942"/>
      <c r="BU1470" s="942"/>
      <c r="BV1470" s="84"/>
    </row>
    <row r="1471" spans="14:74" ht="14.25">
      <c r="N1471" s="84"/>
      <c r="O1471" s="84"/>
      <c r="P1471" s="84"/>
      <c r="Q1471" s="84"/>
      <c r="R1471" s="84"/>
      <c r="S1471" s="84"/>
      <c r="T1471" s="84"/>
      <c r="U1471" s="84"/>
      <c r="V1471" s="84"/>
      <c r="W1471" s="84"/>
      <c r="Y1471" s="84"/>
      <c r="Z1471" s="84"/>
      <c r="AA1471" s="84"/>
      <c r="AB1471" s="84"/>
      <c r="AC1471" s="84"/>
      <c r="AD1471" s="84"/>
      <c r="AE1471" s="84"/>
      <c r="AF1471" s="84"/>
      <c r="AG1471" s="84"/>
      <c r="AH1471" s="84"/>
      <c r="AI1471" s="84"/>
      <c r="AL1471" s="84"/>
      <c r="AM1471" s="84"/>
      <c r="AN1471" s="84"/>
      <c r="AO1471" s="84"/>
      <c r="AP1471" s="84"/>
      <c r="AQ1471" s="84"/>
      <c r="AR1471" s="84"/>
      <c r="AS1471" s="84"/>
      <c r="AT1471" s="84"/>
      <c r="AU1471" s="84"/>
      <c r="AV1471" s="84"/>
      <c r="AY1471" s="84"/>
      <c r="AZ1471" s="84"/>
      <c r="BA1471" s="84"/>
      <c r="BB1471" s="84"/>
      <c r="BC1471" s="84"/>
      <c r="BD1471" s="84"/>
      <c r="BE1471" s="84"/>
      <c r="BF1471" s="942"/>
      <c r="BG1471" s="942"/>
      <c r="BH1471" s="942"/>
      <c r="BI1471" s="84"/>
      <c r="BL1471" s="84"/>
      <c r="BM1471" s="84"/>
      <c r="BN1471" s="84"/>
      <c r="BO1471" s="84"/>
      <c r="BP1471" s="84"/>
      <c r="BQ1471" s="84"/>
      <c r="BR1471" s="84"/>
      <c r="BS1471" s="942"/>
      <c r="BT1471" s="942"/>
      <c r="BU1471" s="942"/>
      <c r="BV1471" s="84"/>
    </row>
    <row r="1472" spans="14:74" ht="14.25">
      <c r="N1472" s="84"/>
      <c r="O1472" s="84"/>
      <c r="P1472" s="84"/>
      <c r="Q1472" s="84"/>
      <c r="R1472" s="84"/>
      <c r="S1472" s="84"/>
      <c r="T1472" s="84"/>
      <c r="U1472" s="84"/>
      <c r="V1472" s="84"/>
      <c r="W1472" s="84"/>
      <c r="Y1472" s="84"/>
      <c r="Z1472" s="84"/>
      <c r="AA1472" s="84"/>
      <c r="AB1472" s="84"/>
      <c r="AC1472" s="84"/>
      <c r="AD1472" s="84"/>
      <c r="AE1472" s="84"/>
      <c r="AF1472" s="84"/>
      <c r="AG1472" s="84"/>
      <c r="AH1472" s="84"/>
      <c r="AI1472" s="84"/>
      <c r="AL1472" s="84"/>
      <c r="AM1472" s="84"/>
      <c r="AN1472" s="84"/>
      <c r="AO1472" s="84"/>
      <c r="AP1472" s="84"/>
      <c r="AQ1472" s="84"/>
      <c r="AR1472" s="84"/>
      <c r="AS1472" s="84"/>
      <c r="AT1472" s="84"/>
      <c r="AU1472" s="84"/>
      <c r="AV1472" s="84"/>
      <c r="AY1472" s="84"/>
      <c r="AZ1472" s="84"/>
      <c r="BA1472" s="84"/>
      <c r="BB1472" s="84"/>
      <c r="BC1472" s="84"/>
      <c r="BD1472" s="84"/>
      <c r="BE1472" s="84"/>
      <c r="BF1472" s="942"/>
      <c r="BG1472" s="942"/>
      <c r="BH1472" s="942"/>
      <c r="BI1472" s="84"/>
      <c r="BL1472" s="84"/>
      <c r="BM1472" s="84"/>
      <c r="BN1472" s="84"/>
      <c r="BO1472" s="84"/>
      <c r="BP1472" s="84"/>
      <c r="BQ1472" s="84"/>
      <c r="BR1472" s="84"/>
      <c r="BS1472" s="942"/>
      <c r="BT1472" s="942"/>
      <c r="BU1472" s="942"/>
      <c r="BV1472" s="84"/>
    </row>
    <row r="1473" spans="14:74" ht="14.25">
      <c r="N1473" s="84"/>
      <c r="O1473" s="84"/>
      <c r="P1473" s="84"/>
      <c r="Q1473" s="84"/>
      <c r="R1473" s="84"/>
      <c r="S1473" s="84"/>
      <c r="T1473" s="84"/>
      <c r="U1473" s="84"/>
      <c r="V1473" s="84"/>
      <c r="W1473" s="84"/>
      <c r="Y1473" s="84"/>
      <c r="Z1473" s="84"/>
      <c r="AA1473" s="84"/>
      <c r="AB1473" s="84"/>
      <c r="AC1473" s="84"/>
      <c r="AD1473" s="84"/>
      <c r="AE1473" s="84"/>
      <c r="AF1473" s="84"/>
      <c r="AG1473" s="84"/>
      <c r="AH1473" s="84"/>
      <c r="AI1473" s="84"/>
      <c r="AL1473" s="84"/>
      <c r="AM1473" s="84"/>
      <c r="AN1473" s="84"/>
      <c r="AO1473" s="84"/>
      <c r="AP1473" s="84"/>
      <c r="AQ1473" s="84"/>
      <c r="AR1473" s="84"/>
      <c r="AS1473" s="84"/>
      <c r="AT1473" s="84"/>
      <c r="AU1473" s="84"/>
      <c r="AV1473" s="84"/>
      <c r="AY1473" s="84"/>
      <c r="AZ1473" s="84"/>
      <c r="BA1473" s="84"/>
      <c r="BB1473" s="84"/>
      <c r="BC1473" s="84"/>
      <c r="BD1473" s="84"/>
      <c r="BE1473" s="84"/>
      <c r="BF1473" s="942"/>
      <c r="BG1473" s="942"/>
      <c r="BH1473" s="942"/>
      <c r="BI1473" s="84"/>
      <c r="BL1473" s="84"/>
      <c r="BM1473" s="84"/>
      <c r="BN1473" s="84"/>
      <c r="BO1473" s="84"/>
      <c r="BP1473" s="84"/>
      <c r="BQ1473" s="84"/>
      <c r="BR1473" s="84"/>
      <c r="BS1473" s="942"/>
      <c r="BT1473" s="942"/>
      <c r="BU1473" s="942"/>
      <c r="BV1473" s="84"/>
    </row>
    <row r="1474" spans="14:74" ht="14.25">
      <c r="N1474" s="84"/>
      <c r="O1474" s="84"/>
      <c r="P1474" s="84"/>
      <c r="Q1474" s="84"/>
      <c r="R1474" s="84"/>
      <c r="S1474" s="84"/>
      <c r="T1474" s="84"/>
      <c r="U1474" s="84"/>
      <c r="V1474" s="84"/>
      <c r="W1474" s="84"/>
      <c r="Y1474" s="84"/>
      <c r="Z1474" s="84"/>
      <c r="AA1474" s="84"/>
      <c r="AB1474" s="84"/>
      <c r="AC1474" s="84"/>
      <c r="AD1474" s="84"/>
      <c r="AE1474" s="84"/>
      <c r="AF1474" s="84"/>
      <c r="AG1474" s="84"/>
      <c r="AH1474" s="84"/>
      <c r="AI1474" s="84"/>
      <c r="AL1474" s="84"/>
      <c r="AM1474" s="84"/>
      <c r="AN1474" s="84"/>
      <c r="AO1474" s="84"/>
      <c r="AP1474" s="84"/>
      <c r="AQ1474" s="84"/>
      <c r="AR1474" s="84"/>
      <c r="AS1474" s="84"/>
      <c r="AT1474" s="84"/>
      <c r="AU1474" s="84"/>
      <c r="AV1474" s="84"/>
      <c r="AY1474" s="84"/>
      <c r="AZ1474" s="84"/>
      <c r="BA1474" s="84"/>
      <c r="BB1474" s="84"/>
      <c r="BC1474" s="84"/>
      <c r="BD1474" s="84"/>
      <c r="BE1474" s="84"/>
      <c r="BF1474" s="942"/>
      <c r="BG1474" s="942"/>
      <c r="BH1474" s="942"/>
      <c r="BI1474" s="84"/>
      <c r="BL1474" s="84"/>
      <c r="BM1474" s="84"/>
      <c r="BN1474" s="84"/>
      <c r="BO1474" s="84"/>
      <c r="BP1474" s="84"/>
      <c r="BQ1474" s="84"/>
      <c r="BR1474" s="84"/>
      <c r="BS1474" s="942"/>
      <c r="BT1474" s="942"/>
      <c r="BU1474" s="942"/>
      <c r="BV1474" s="84"/>
    </row>
    <row r="1475" spans="14:74" ht="14.25">
      <c r="N1475" s="84"/>
      <c r="O1475" s="84"/>
      <c r="P1475" s="84"/>
      <c r="Q1475" s="84"/>
      <c r="R1475" s="84"/>
      <c r="S1475" s="84"/>
      <c r="T1475" s="84"/>
      <c r="U1475" s="84"/>
      <c r="V1475" s="84"/>
      <c r="W1475" s="84"/>
      <c r="Y1475" s="84"/>
      <c r="Z1475" s="84"/>
      <c r="AA1475" s="84"/>
      <c r="AB1475" s="84"/>
      <c r="AC1475" s="84"/>
      <c r="AD1475" s="84"/>
      <c r="AE1475" s="84"/>
      <c r="AF1475" s="84"/>
      <c r="AG1475" s="84"/>
      <c r="AH1475" s="84"/>
      <c r="AI1475" s="84"/>
      <c r="AL1475" s="84"/>
      <c r="AM1475" s="84"/>
      <c r="AN1475" s="84"/>
      <c r="AO1475" s="84"/>
      <c r="AP1475" s="84"/>
      <c r="AQ1475" s="84"/>
      <c r="AR1475" s="84"/>
      <c r="AS1475" s="84"/>
      <c r="AT1475" s="84"/>
      <c r="AU1475" s="84"/>
      <c r="AV1475" s="84"/>
      <c r="AY1475" s="84"/>
      <c r="AZ1475" s="84"/>
      <c r="BA1475" s="84"/>
      <c r="BB1475" s="84"/>
      <c r="BC1475" s="84"/>
      <c r="BD1475" s="84"/>
      <c r="BE1475" s="84"/>
      <c r="BF1475" s="942"/>
      <c r="BG1475" s="942"/>
      <c r="BH1475" s="942"/>
      <c r="BI1475" s="84"/>
      <c r="BL1475" s="84"/>
      <c r="BM1475" s="84"/>
      <c r="BN1475" s="84"/>
      <c r="BO1475" s="84"/>
      <c r="BP1475" s="84"/>
      <c r="BQ1475" s="84"/>
      <c r="BR1475" s="84"/>
      <c r="BS1475" s="942"/>
      <c r="BT1475" s="942"/>
      <c r="BU1475" s="942"/>
      <c r="BV1475" s="84"/>
    </row>
    <row r="1476" spans="14:74" ht="14.25">
      <c r="N1476" s="84"/>
      <c r="O1476" s="84"/>
      <c r="P1476" s="84"/>
      <c r="Q1476" s="84"/>
      <c r="R1476" s="84"/>
      <c r="S1476" s="84"/>
      <c r="T1476" s="84"/>
      <c r="U1476" s="84"/>
      <c r="V1476" s="84"/>
      <c r="W1476" s="84"/>
      <c r="Y1476" s="84"/>
      <c r="Z1476" s="84"/>
      <c r="AA1476" s="84"/>
      <c r="AB1476" s="84"/>
      <c r="AC1476" s="84"/>
      <c r="AD1476" s="84"/>
      <c r="AE1476" s="84"/>
      <c r="AF1476" s="84"/>
      <c r="AG1476" s="84"/>
      <c r="AH1476" s="84"/>
      <c r="AI1476" s="84"/>
      <c r="AL1476" s="84"/>
      <c r="AM1476" s="84"/>
      <c r="AN1476" s="84"/>
      <c r="AO1476" s="84"/>
      <c r="AP1476" s="84"/>
      <c r="AQ1476" s="84"/>
      <c r="AR1476" s="84"/>
      <c r="AS1476" s="84"/>
      <c r="AT1476" s="84"/>
      <c r="AU1476" s="84"/>
      <c r="AV1476" s="84"/>
      <c r="AY1476" s="84"/>
      <c r="AZ1476" s="84"/>
      <c r="BA1476" s="84"/>
      <c r="BB1476" s="84"/>
      <c r="BC1476" s="84"/>
      <c r="BD1476" s="84"/>
      <c r="BE1476" s="84"/>
      <c r="BF1476" s="942"/>
      <c r="BG1476" s="942"/>
      <c r="BH1476" s="942"/>
      <c r="BI1476" s="84"/>
      <c r="BL1476" s="84"/>
      <c r="BM1476" s="84"/>
      <c r="BN1476" s="84"/>
      <c r="BO1476" s="84"/>
      <c r="BP1476" s="84"/>
      <c r="BQ1476" s="84"/>
      <c r="BR1476" s="84"/>
      <c r="BS1476" s="942"/>
      <c r="BT1476" s="942"/>
      <c r="BU1476" s="942"/>
      <c r="BV1476" s="84"/>
    </row>
    <row r="1477" spans="14:74" ht="14.25">
      <c r="N1477" s="84"/>
      <c r="O1477" s="84"/>
      <c r="P1477" s="84"/>
      <c r="Q1477" s="84"/>
      <c r="R1477" s="84"/>
      <c r="S1477" s="84"/>
      <c r="T1477" s="84"/>
      <c r="U1477" s="84"/>
      <c r="V1477" s="84"/>
      <c r="W1477" s="84"/>
      <c r="Y1477" s="84"/>
      <c r="Z1477" s="84"/>
      <c r="AA1477" s="84"/>
      <c r="AB1477" s="84"/>
      <c r="AC1477" s="84"/>
      <c r="AD1477" s="84"/>
      <c r="AE1477" s="84"/>
      <c r="AF1477" s="84"/>
      <c r="AG1477" s="84"/>
      <c r="AH1477" s="84"/>
      <c r="AI1477" s="84"/>
      <c r="AL1477" s="84"/>
      <c r="AM1477" s="84"/>
      <c r="AN1477" s="84"/>
      <c r="AO1477" s="84"/>
      <c r="AP1477" s="84"/>
      <c r="AQ1477" s="84"/>
      <c r="AR1477" s="84"/>
      <c r="AS1477" s="84"/>
      <c r="AT1477" s="84"/>
      <c r="AU1477" s="84"/>
      <c r="AV1477" s="84"/>
      <c r="AY1477" s="84"/>
      <c r="AZ1477" s="84"/>
      <c r="BA1477" s="84"/>
      <c r="BB1477" s="84"/>
      <c r="BC1477" s="84"/>
      <c r="BD1477" s="84"/>
      <c r="BE1477" s="84"/>
      <c r="BF1477" s="942"/>
      <c r="BG1477" s="942"/>
      <c r="BH1477" s="942"/>
      <c r="BI1477" s="84"/>
      <c r="BL1477" s="84"/>
      <c r="BM1477" s="84"/>
      <c r="BN1477" s="84"/>
      <c r="BO1477" s="84"/>
      <c r="BP1477" s="84"/>
      <c r="BQ1477" s="84"/>
      <c r="BR1477" s="84"/>
      <c r="BS1477" s="942"/>
      <c r="BT1477" s="942"/>
      <c r="BU1477" s="942"/>
      <c r="BV1477" s="84"/>
    </row>
    <row r="1478" spans="14:74" ht="14.25">
      <c r="N1478" s="84"/>
      <c r="O1478" s="84"/>
      <c r="P1478" s="84"/>
      <c r="Q1478" s="84"/>
      <c r="R1478" s="84"/>
      <c r="S1478" s="84"/>
      <c r="T1478" s="84"/>
      <c r="U1478" s="84"/>
      <c r="V1478" s="84"/>
      <c r="W1478" s="84"/>
      <c r="Y1478" s="84"/>
      <c r="Z1478" s="84"/>
      <c r="AA1478" s="84"/>
      <c r="AB1478" s="84"/>
      <c r="AC1478" s="84"/>
      <c r="AD1478" s="84"/>
      <c r="AE1478" s="84"/>
      <c r="AF1478" s="84"/>
      <c r="AG1478" s="84"/>
      <c r="AH1478" s="84"/>
      <c r="AI1478" s="84"/>
      <c r="AL1478" s="84"/>
      <c r="AM1478" s="84"/>
      <c r="AN1478" s="84"/>
      <c r="AO1478" s="84"/>
      <c r="AP1478" s="84"/>
      <c r="AQ1478" s="84"/>
      <c r="AR1478" s="84"/>
      <c r="AS1478" s="84"/>
      <c r="AT1478" s="84"/>
      <c r="AU1478" s="84"/>
      <c r="AV1478" s="84"/>
      <c r="AY1478" s="84"/>
      <c r="AZ1478" s="84"/>
      <c r="BA1478" s="84"/>
      <c r="BB1478" s="84"/>
      <c r="BC1478" s="84"/>
      <c r="BD1478" s="84"/>
      <c r="BE1478" s="84"/>
      <c r="BF1478" s="942"/>
      <c r="BG1478" s="942"/>
      <c r="BH1478" s="942"/>
      <c r="BI1478" s="84"/>
      <c r="BL1478" s="84"/>
      <c r="BM1478" s="84"/>
      <c r="BN1478" s="84"/>
      <c r="BO1478" s="84"/>
      <c r="BP1478" s="84"/>
      <c r="BQ1478" s="84"/>
      <c r="BR1478" s="84"/>
      <c r="BS1478" s="942"/>
      <c r="BT1478" s="942"/>
      <c r="BU1478" s="942"/>
      <c r="BV1478" s="84"/>
    </row>
    <row r="1479" spans="14:74" ht="14.25">
      <c r="N1479" s="84"/>
      <c r="O1479" s="84"/>
      <c r="P1479" s="84"/>
      <c r="Q1479" s="84"/>
      <c r="R1479" s="84"/>
      <c r="S1479" s="84"/>
      <c r="T1479" s="84"/>
      <c r="U1479" s="84"/>
      <c r="V1479" s="84"/>
      <c r="W1479" s="84"/>
      <c r="Y1479" s="84"/>
      <c r="Z1479" s="84"/>
      <c r="AA1479" s="84"/>
      <c r="AB1479" s="84"/>
      <c r="AC1479" s="84"/>
      <c r="AD1479" s="84"/>
      <c r="AE1479" s="84"/>
      <c r="AF1479" s="84"/>
      <c r="AG1479" s="84"/>
      <c r="AH1479" s="84"/>
      <c r="AI1479" s="84"/>
      <c r="AL1479" s="84"/>
      <c r="AM1479" s="84"/>
      <c r="AN1479" s="84"/>
      <c r="AO1479" s="84"/>
      <c r="AP1479" s="84"/>
      <c r="AQ1479" s="84"/>
      <c r="AR1479" s="84"/>
      <c r="AS1479" s="84"/>
      <c r="AT1479" s="84"/>
      <c r="AU1479" s="84"/>
      <c r="AV1479" s="84"/>
      <c r="AY1479" s="84"/>
      <c r="AZ1479" s="84"/>
      <c r="BA1479" s="84"/>
      <c r="BB1479" s="84"/>
      <c r="BC1479" s="84"/>
      <c r="BD1479" s="84"/>
      <c r="BE1479" s="84"/>
      <c r="BF1479" s="942"/>
      <c r="BG1479" s="942"/>
      <c r="BH1479" s="942"/>
      <c r="BI1479" s="84"/>
      <c r="BL1479" s="84"/>
      <c r="BM1479" s="84"/>
      <c r="BN1479" s="84"/>
      <c r="BO1479" s="84"/>
      <c r="BP1479" s="84"/>
      <c r="BQ1479" s="84"/>
      <c r="BR1479" s="84"/>
      <c r="BS1479" s="942"/>
      <c r="BT1479" s="942"/>
      <c r="BU1479" s="942"/>
      <c r="BV1479" s="84"/>
    </row>
    <row r="1480" spans="14:74" ht="14.25">
      <c r="N1480" s="84"/>
      <c r="O1480" s="84"/>
      <c r="P1480" s="84"/>
      <c r="Q1480" s="84"/>
      <c r="R1480" s="84"/>
      <c r="S1480" s="84"/>
      <c r="T1480" s="84"/>
      <c r="U1480" s="84"/>
      <c r="V1480" s="84"/>
      <c r="W1480" s="84"/>
      <c r="Y1480" s="84"/>
      <c r="Z1480" s="84"/>
      <c r="AA1480" s="84"/>
      <c r="AB1480" s="84"/>
      <c r="AC1480" s="84"/>
      <c r="AD1480" s="84"/>
      <c r="AE1480" s="84"/>
      <c r="AF1480" s="84"/>
      <c r="AG1480" s="84"/>
      <c r="AH1480" s="84"/>
      <c r="AI1480" s="84"/>
      <c r="AL1480" s="84"/>
      <c r="AM1480" s="84"/>
      <c r="AN1480" s="84"/>
      <c r="AO1480" s="84"/>
      <c r="AP1480" s="84"/>
      <c r="AQ1480" s="84"/>
      <c r="AR1480" s="84"/>
      <c r="AS1480" s="84"/>
      <c r="AT1480" s="84"/>
      <c r="AU1480" s="84"/>
      <c r="AV1480" s="84"/>
      <c r="AY1480" s="84"/>
      <c r="AZ1480" s="84"/>
      <c r="BA1480" s="84"/>
      <c r="BB1480" s="84"/>
      <c r="BC1480" s="84"/>
      <c r="BD1480" s="84"/>
      <c r="BE1480" s="84"/>
      <c r="BF1480" s="942"/>
      <c r="BG1480" s="942"/>
      <c r="BH1480" s="942"/>
      <c r="BI1480" s="84"/>
      <c r="BL1480" s="84"/>
      <c r="BM1480" s="84"/>
      <c r="BN1480" s="84"/>
      <c r="BO1480" s="84"/>
      <c r="BP1480" s="84"/>
      <c r="BQ1480" s="84"/>
      <c r="BR1480" s="84"/>
      <c r="BS1480" s="942"/>
      <c r="BT1480" s="942"/>
      <c r="BU1480" s="942"/>
      <c r="BV1480" s="84"/>
    </row>
    <row r="1481" spans="14:74" ht="14.25">
      <c r="N1481" s="84"/>
      <c r="O1481" s="84"/>
      <c r="P1481" s="84"/>
      <c r="Q1481" s="84"/>
      <c r="R1481" s="84"/>
      <c r="S1481" s="84"/>
      <c r="T1481" s="84"/>
      <c r="U1481" s="84"/>
      <c r="V1481" s="84"/>
      <c r="W1481" s="84"/>
      <c r="Y1481" s="84"/>
      <c r="Z1481" s="84"/>
      <c r="AA1481" s="84"/>
      <c r="AB1481" s="84"/>
      <c r="AC1481" s="84"/>
      <c r="AD1481" s="84"/>
      <c r="AE1481" s="84"/>
      <c r="AF1481" s="84"/>
      <c r="AG1481" s="84"/>
      <c r="AH1481" s="84"/>
      <c r="AI1481" s="84"/>
      <c r="AL1481" s="84"/>
      <c r="AM1481" s="84"/>
      <c r="AN1481" s="84"/>
      <c r="AO1481" s="84"/>
      <c r="AP1481" s="84"/>
      <c r="AQ1481" s="84"/>
      <c r="AR1481" s="84"/>
      <c r="AS1481" s="84"/>
      <c r="AT1481" s="84"/>
      <c r="AU1481" s="84"/>
      <c r="AV1481" s="84"/>
      <c r="AY1481" s="84"/>
      <c r="AZ1481" s="84"/>
      <c r="BA1481" s="84"/>
      <c r="BB1481" s="84"/>
      <c r="BC1481" s="84"/>
      <c r="BD1481" s="84"/>
      <c r="BE1481" s="84"/>
      <c r="BF1481" s="942"/>
      <c r="BG1481" s="942"/>
      <c r="BH1481" s="942"/>
      <c r="BI1481" s="84"/>
      <c r="BL1481" s="84"/>
      <c r="BM1481" s="84"/>
      <c r="BN1481" s="84"/>
      <c r="BO1481" s="84"/>
      <c r="BP1481" s="84"/>
      <c r="BQ1481" s="84"/>
      <c r="BR1481" s="84"/>
      <c r="BS1481" s="942"/>
      <c r="BT1481" s="942"/>
      <c r="BU1481" s="942"/>
      <c r="BV1481" s="84"/>
    </row>
    <row r="1482" spans="14:74" ht="14.25">
      <c r="N1482" s="84"/>
      <c r="O1482" s="84"/>
      <c r="P1482" s="84"/>
      <c r="Q1482" s="84"/>
      <c r="R1482" s="84"/>
      <c r="S1482" s="84"/>
      <c r="T1482" s="84"/>
      <c r="U1482" s="84"/>
      <c r="V1482" s="84"/>
      <c r="W1482" s="84"/>
      <c r="Y1482" s="84"/>
      <c r="Z1482" s="84"/>
      <c r="AA1482" s="84"/>
      <c r="AB1482" s="84"/>
      <c r="AC1482" s="84"/>
      <c r="AD1482" s="84"/>
      <c r="AE1482" s="84"/>
      <c r="AF1482" s="84"/>
      <c r="AG1482" s="84"/>
      <c r="AH1482" s="84"/>
      <c r="AI1482" s="84"/>
      <c r="AL1482" s="84"/>
      <c r="AM1482" s="84"/>
      <c r="AN1482" s="84"/>
      <c r="AO1482" s="84"/>
      <c r="AP1482" s="84"/>
      <c r="AQ1482" s="84"/>
      <c r="AR1482" s="84"/>
      <c r="AS1482" s="84"/>
      <c r="AT1482" s="84"/>
      <c r="AU1482" s="84"/>
      <c r="AV1482" s="84"/>
      <c r="AY1482" s="84"/>
      <c r="AZ1482" s="84"/>
      <c r="BA1482" s="84"/>
      <c r="BB1482" s="84"/>
      <c r="BC1482" s="84"/>
      <c r="BD1482" s="84"/>
      <c r="BE1482" s="84"/>
      <c r="BF1482" s="942"/>
      <c r="BG1482" s="942"/>
      <c r="BH1482" s="942"/>
      <c r="BI1482" s="84"/>
      <c r="BL1482" s="84"/>
      <c r="BM1482" s="84"/>
      <c r="BN1482" s="84"/>
      <c r="BO1482" s="84"/>
      <c r="BP1482" s="84"/>
      <c r="BQ1482" s="84"/>
      <c r="BR1482" s="84"/>
      <c r="BS1482" s="942"/>
      <c r="BT1482" s="942"/>
      <c r="BU1482" s="942"/>
      <c r="BV1482" s="84"/>
    </row>
    <row r="1483" spans="14:74" ht="14.25">
      <c r="N1483" s="84"/>
      <c r="O1483" s="84"/>
      <c r="P1483" s="84"/>
      <c r="Q1483" s="84"/>
      <c r="R1483" s="84"/>
      <c r="S1483" s="84"/>
      <c r="T1483" s="84"/>
      <c r="U1483" s="84"/>
      <c r="V1483" s="84"/>
      <c r="W1483" s="84"/>
      <c r="Y1483" s="84"/>
      <c r="Z1483" s="84"/>
      <c r="AA1483" s="84"/>
      <c r="AB1483" s="84"/>
      <c r="AC1483" s="84"/>
      <c r="AD1483" s="84"/>
      <c r="AE1483" s="84"/>
      <c r="AF1483" s="84"/>
      <c r="AG1483" s="84"/>
      <c r="AH1483" s="84"/>
      <c r="AI1483" s="84"/>
      <c r="AL1483" s="84"/>
      <c r="AM1483" s="84"/>
      <c r="AN1483" s="84"/>
      <c r="AO1483" s="84"/>
      <c r="AP1483" s="84"/>
      <c r="AQ1483" s="84"/>
      <c r="AR1483" s="84"/>
      <c r="AS1483" s="84"/>
      <c r="AT1483" s="84"/>
      <c r="AU1483" s="84"/>
      <c r="AV1483" s="84"/>
      <c r="AY1483" s="84"/>
      <c r="AZ1483" s="84"/>
      <c r="BA1483" s="84"/>
      <c r="BB1483" s="84"/>
      <c r="BC1483" s="84"/>
      <c r="BD1483" s="84"/>
      <c r="BE1483" s="84"/>
      <c r="BF1483" s="942"/>
      <c r="BG1483" s="942"/>
      <c r="BH1483" s="942"/>
      <c r="BI1483" s="84"/>
      <c r="BL1483" s="84"/>
      <c r="BM1483" s="84"/>
      <c r="BN1483" s="84"/>
      <c r="BO1483" s="84"/>
      <c r="BP1483" s="84"/>
      <c r="BQ1483" s="84"/>
      <c r="BR1483" s="84"/>
      <c r="BS1483" s="942"/>
      <c r="BT1483" s="942"/>
      <c r="BU1483" s="942"/>
      <c r="BV1483" s="84"/>
    </row>
    <row r="1484" spans="14:74" ht="14.25">
      <c r="N1484" s="84"/>
      <c r="O1484" s="84"/>
      <c r="P1484" s="84"/>
      <c r="Q1484" s="84"/>
      <c r="R1484" s="84"/>
      <c r="S1484" s="84"/>
      <c r="T1484" s="84"/>
      <c r="U1484" s="84"/>
      <c r="V1484" s="84"/>
      <c r="W1484" s="84"/>
      <c r="Y1484" s="84"/>
      <c r="Z1484" s="84"/>
      <c r="AA1484" s="84"/>
      <c r="AB1484" s="84"/>
      <c r="AC1484" s="84"/>
      <c r="AD1484" s="84"/>
      <c r="AE1484" s="84"/>
      <c r="AF1484" s="84"/>
      <c r="AG1484" s="84"/>
      <c r="AH1484" s="84"/>
      <c r="AI1484" s="84"/>
      <c r="AL1484" s="84"/>
      <c r="AM1484" s="84"/>
      <c r="AN1484" s="84"/>
      <c r="AO1484" s="84"/>
      <c r="AP1484" s="84"/>
      <c r="AQ1484" s="84"/>
      <c r="AR1484" s="84"/>
      <c r="AS1484" s="84"/>
      <c r="AT1484" s="84"/>
      <c r="AU1484" s="84"/>
      <c r="AV1484" s="84"/>
      <c r="AY1484" s="84"/>
      <c r="AZ1484" s="84"/>
      <c r="BA1484" s="84"/>
      <c r="BB1484" s="84"/>
      <c r="BC1484" s="84"/>
      <c r="BD1484" s="84"/>
      <c r="BE1484" s="84"/>
      <c r="BF1484" s="942"/>
      <c r="BG1484" s="942"/>
      <c r="BH1484" s="942"/>
      <c r="BI1484" s="84"/>
      <c r="BL1484" s="84"/>
      <c r="BM1484" s="84"/>
      <c r="BN1484" s="84"/>
      <c r="BO1484" s="84"/>
      <c r="BP1484" s="84"/>
      <c r="BQ1484" s="84"/>
      <c r="BR1484" s="84"/>
      <c r="BS1484" s="942"/>
      <c r="BT1484" s="942"/>
      <c r="BU1484" s="942"/>
      <c r="BV1484" s="84"/>
    </row>
    <row r="1485" spans="14:74" ht="14.25">
      <c r="N1485" s="84"/>
      <c r="O1485" s="84"/>
      <c r="P1485" s="84"/>
      <c r="Q1485" s="84"/>
      <c r="R1485" s="84"/>
      <c r="S1485" s="84"/>
      <c r="T1485" s="84"/>
      <c r="U1485" s="84"/>
      <c r="V1485" s="84"/>
      <c r="W1485" s="84"/>
      <c r="Y1485" s="84"/>
      <c r="Z1485" s="84"/>
      <c r="AA1485" s="84"/>
      <c r="AB1485" s="84"/>
      <c r="AC1485" s="84"/>
      <c r="AD1485" s="84"/>
      <c r="AE1485" s="84"/>
      <c r="AF1485" s="84"/>
      <c r="AG1485" s="84"/>
      <c r="AH1485" s="84"/>
      <c r="AI1485" s="84"/>
      <c r="AL1485" s="84"/>
      <c r="AM1485" s="84"/>
      <c r="AN1485" s="84"/>
      <c r="AO1485" s="84"/>
      <c r="AP1485" s="84"/>
      <c r="AQ1485" s="84"/>
      <c r="AR1485" s="84"/>
      <c r="AS1485" s="84"/>
      <c r="AT1485" s="84"/>
      <c r="AU1485" s="84"/>
      <c r="AV1485" s="84"/>
      <c r="AY1485" s="84"/>
      <c r="AZ1485" s="84"/>
      <c r="BA1485" s="84"/>
      <c r="BB1485" s="84"/>
      <c r="BC1485" s="84"/>
      <c r="BD1485" s="84"/>
      <c r="BE1485" s="84"/>
      <c r="BF1485" s="942"/>
      <c r="BG1485" s="942"/>
      <c r="BH1485" s="942"/>
      <c r="BI1485" s="84"/>
      <c r="BL1485" s="84"/>
      <c r="BM1485" s="84"/>
      <c r="BN1485" s="84"/>
      <c r="BO1485" s="84"/>
      <c r="BP1485" s="84"/>
      <c r="BQ1485" s="84"/>
      <c r="BR1485" s="84"/>
      <c r="BS1485" s="942"/>
      <c r="BT1485" s="942"/>
      <c r="BU1485" s="942"/>
      <c r="BV1485" s="84"/>
    </row>
    <row r="1486" spans="14:74" ht="14.25">
      <c r="N1486" s="84"/>
      <c r="O1486" s="84"/>
      <c r="P1486" s="84"/>
      <c r="Q1486" s="84"/>
      <c r="R1486" s="84"/>
      <c r="S1486" s="84"/>
      <c r="T1486" s="84"/>
      <c r="U1486" s="84"/>
      <c r="V1486" s="84"/>
      <c r="W1486" s="84"/>
      <c r="Y1486" s="84"/>
      <c r="Z1486" s="84"/>
      <c r="AA1486" s="84"/>
      <c r="AB1486" s="84"/>
      <c r="AC1486" s="84"/>
      <c r="AD1486" s="84"/>
      <c r="AE1486" s="84"/>
      <c r="AF1486" s="84"/>
      <c r="AG1486" s="84"/>
      <c r="AH1486" s="84"/>
      <c r="AI1486" s="84"/>
      <c r="AL1486" s="84"/>
      <c r="AM1486" s="84"/>
      <c r="AN1486" s="84"/>
      <c r="AO1486" s="84"/>
      <c r="AP1486" s="84"/>
      <c r="AQ1486" s="84"/>
      <c r="AR1486" s="84"/>
      <c r="AS1486" s="84"/>
      <c r="AT1486" s="84"/>
      <c r="AU1486" s="84"/>
      <c r="AV1486" s="84"/>
      <c r="AY1486" s="84"/>
      <c r="AZ1486" s="84"/>
      <c r="BA1486" s="84"/>
      <c r="BB1486" s="84"/>
      <c r="BC1486" s="84"/>
      <c r="BD1486" s="84"/>
      <c r="BE1486" s="84"/>
      <c r="BF1486" s="942"/>
      <c r="BG1486" s="942"/>
      <c r="BH1486" s="942"/>
      <c r="BI1486" s="84"/>
      <c r="BL1486" s="84"/>
      <c r="BM1486" s="84"/>
      <c r="BN1486" s="84"/>
      <c r="BO1486" s="84"/>
      <c r="BP1486" s="84"/>
      <c r="BQ1486" s="84"/>
      <c r="BR1486" s="84"/>
      <c r="BS1486" s="942"/>
      <c r="BT1486" s="942"/>
      <c r="BU1486" s="942"/>
      <c r="BV1486" s="84"/>
    </row>
    <row r="1487" spans="14:74" ht="14.25">
      <c r="N1487" s="84"/>
      <c r="O1487" s="84"/>
      <c r="P1487" s="84"/>
      <c r="Q1487" s="84"/>
      <c r="R1487" s="84"/>
      <c r="S1487" s="84"/>
      <c r="T1487" s="84"/>
      <c r="U1487" s="84"/>
      <c r="V1487" s="84"/>
      <c r="W1487" s="84"/>
      <c r="Y1487" s="84"/>
      <c r="Z1487" s="84"/>
      <c r="AA1487" s="84"/>
      <c r="AB1487" s="84"/>
      <c r="AC1487" s="84"/>
      <c r="AD1487" s="84"/>
      <c r="AE1487" s="84"/>
      <c r="AF1487" s="84"/>
      <c r="AG1487" s="84"/>
      <c r="AH1487" s="84"/>
      <c r="AI1487" s="84"/>
      <c r="AL1487" s="84"/>
      <c r="AM1487" s="84"/>
      <c r="AN1487" s="84"/>
      <c r="AO1487" s="84"/>
      <c r="AP1487" s="84"/>
      <c r="AQ1487" s="84"/>
      <c r="AR1487" s="84"/>
      <c r="AS1487" s="84"/>
      <c r="AT1487" s="84"/>
      <c r="AU1487" s="84"/>
      <c r="AV1487" s="84"/>
      <c r="AY1487" s="84"/>
      <c r="AZ1487" s="84"/>
      <c r="BA1487" s="84"/>
      <c r="BB1487" s="84"/>
      <c r="BC1487" s="84"/>
      <c r="BD1487" s="84"/>
      <c r="BE1487" s="84"/>
      <c r="BF1487" s="942"/>
      <c r="BG1487" s="942"/>
      <c r="BH1487" s="942"/>
      <c r="BI1487" s="84"/>
      <c r="BL1487" s="84"/>
      <c r="BM1487" s="84"/>
      <c r="BN1487" s="84"/>
      <c r="BO1487" s="84"/>
      <c r="BP1487" s="84"/>
      <c r="BQ1487" s="84"/>
      <c r="BR1487" s="84"/>
      <c r="BS1487" s="942"/>
      <c r="BT1487" s="942"/>
      <c r="BU1487" s="942"/>
      <c r="BV1487" s="84"/>
    </row>
    <row r="1488" spans="14:74" ht="14.25">
      <c r="N1488" s="84"/>
      <c r="O1488" s="84"/>
      <c r="P1488" s="84"/>
      <c r="Q1488" s="84"/>
      <c r="R1488" s="84"/>
      <c r="S1488" s="84"/>
      <c r="T1488" s="84"/>
      <c r="U1488" s="84"/>
      <c r="V1488" s="84"/>
      <c r="W1488" s="84"/>
      <c r="Y1488" s="84"/>
      <c r="Z1488" s="84"/>
      <c r="AA1488" s="84"/>
      <c r="AB1488" s="84"/>
      <c r="AC1488" s="84"/>
      <c r="AD1488" s="84"/>
      <c r="AE1488" s="84"/>
      <c r="AF1488" s="84"/>
      <c r="AG1488" s="84"/>
      <c r="AH1488" s="84"/>
      <c r="AI1488" s="84"/>
      <c r="AL1488" s="84"/>
      <c r="AM1488" s="84"/>
      <c r="AN1488" s="84"/>
      <c r="AO1488" s="84"/>
      <c r="AP1488" s="84"/>
      <c r="AQ1488" s="84"/>
      <c r="AR1488" s="84"/>
      <c r="AS1488" s="84"/>
      <c r="AT1488" s="84"/>
      <c r="AU1488" s="84"/>
      <c r="AV1488" s="84"/>
      <c r="AY1488" s="84"/>
      <c r="AZ1488" s="84"/>
      <c r="BA1488" s="84"/>
      <c r="BB1488" s="84"/>
      <c r="BC1488" s="84"/>
      <c r="BD1488" s="84"/>
      <c r="BE1488" s="84"/>
      <c r="BF1488" s="942"/>
      <c r="BG1488" s="942"/>
      <c r="BH1488" s="942"/>
      <c r="BI1488" s="84"/>
      <c r="BL1488" s="84"/>
      <c r="BM1488" s="84"/>
      <c r="BN1488" s="84"/>
      <c r="BO1488" s="84"/>
      <c r="BP1488" s="84"/>
      <c r="BQ1488" s="84"/>
      <c r="BR1488" s="84"/>
      <c r="BS1488" s="942"/>
      <c r="BT1488" s="942"/>
      <c r="BU1488" s="942"/>
      <c r="BV1488" s="84"/>
    </row>
    <row r="1489" spans="14:74" ht="14.25">
      <c r="N1489" s="84"/>
      <c r="O1489" s="84"/>
      <c r="P1489" s="84"/>
      <c r="Q1489" s="84"/>
      <c r="R1489" s="84"/>
      <c r="S1489" s="84"/>
      <c r="T1489" s="84"/>
      <c r="U1489" s="84"/>
      <c r="V1489" s="84"/>
      <c r="W1489" s="84"/>
      <c r="Y1489" s="84"/>
      <c r="Z1489" s="84"/>
      <c r="AA1489" s="84"/>
      <c r="AB1489" s="84"/>
      <c r="AC1489" s="84"/>
      <c r="AD1489" s="84"/>
      <c r="AE1489" s="84"/>
      <c r="AF1489" s="84"/>
      <c r="AG1489" s="84"/>
      <c r="AH1489" s="84"/>
      <c r="AI1489" s="84"/>
      <c r="AL1489" s="84"/>
      <c r="AM1489" s="84"/>
      <c r="AN1489" s="84"/>
      <c r="AO1489" s="84"/>
      <c r="AP1489" s="84"/>
      <c r="AQ1489" s="84"/>
      <c r="AR1489" s="84"/>
      <c r="AS1489" s="84"/>
      <c r="AT1489" s="84"/>
      <c r="AU1489" s="84"/>
      <c r="AV1489" s="84"/>
      <c r="AY1489" s="84"/>
      <c r="AZ1489" s="84"/>
      <c r="BA1489" s="84"/>
      <c r="BB1489" s="84"/>
      <c r="BC1489" s="84"/>
      <c r="BD1489" s="84"/>
      <c r="BE1489" s="84"/>
      <c r="BF1489" s="942"/>
      <c r="BG1489" s="942"/>
      <c r="BH1489" s="942"/>
      <c r="BI1489" s="84"/>
      <c r="BL1489" s="84"/>
      <c r="BM1489" s="84"/>
      <c r="BN1489" s="84"/>
      <c r="BO1489" s="84"/>
      <c r="BP1489" s="84"/>
      <c r="BQ1489" s="84"/>
      <c r="BR1489" s="84"/>
      <c r="BS1489" s="942"/>
      <c r="BT1489" s="942"/>
      <c r="BU1489" s="942"/>
      <c r="BV1489" s="84"/>
    </row>
    <row r="1490" spans="14:74" ht="14.25">
      <c r="N1490" s="84"/>
      <c r="O1490" s="84"/>
      <c r="P1490" s="84"/>
      <c r="Q1490" s="84"/>
      <c r="R1490" s="84"/>
      <c r="S1490" s="84"/>
      <c r="T1490" s="84"/>
      <c r="U1490" s="84"/>
      <c r="V1490" s="84"/>
      <c r="W1490" s="84"/>
      <c r="Y1490" s="84"/>
      <c r="Z1490" s="84"/>
      <c r="AA1490" s="84"/>
      <c r="AB1490" s="84"/>
      <c r="AC1490" s="84"/>
      <c r="AD1490" s="84"/>
      <c r="AE1490" s="84"/>
      <c r="AF1490" s="84"/>
      <c r="AG1490" s="84"/>
      <c r="AH1490" s="84"/>
      <c r="AI1490" s="84"/>
      <c r="AL1490" s="84"/>
      <c r="AM1490" s="84"/>
      <c r="AN1490" s="84"/>
      <c r="AO1490" s="84"/>
      <c r="AP1490" s="84"/>
      <c r="AQ1490" s="84"/>
      <c r="AR1490" s="84"/>
      <c r="AS1490" s="84"/>
      <c r="AT1490" s="84"/>
      <c r="AU1490" s="84"/>
      <c r="AV1490" s="84"/>
      <c r="AY1490" s="84"/>
      <c r="AZ1490" s="84"/>
      <c r="BA1490" s="84"/>
      <c r="BB1490" s="84"/>
      <c r="BC1490" s="84"/>
      <c r="BD1490" s="84"/>
      <c r="BE1490" s="84"/>
      <c r="BF1490" s="942"/>
      <c r="BG1490" s="942"/>
      <c r="BH1490" s="942"/>
      <c r="BI1490" s="84"/>
      <c r="BL1490" s="84"/>
      <c r="BM1490" s="84"/>
      <c r="BN1490" s="84"/>
      <c r="BO1490" s="84"/>
      <c r="BP1490" s="84"/>
      <c r="BQ1490" s="84"/>
      <c r="BR1490" s="84"/>
      <c r="BS1490" s="942"/>
      <c r="BT1490" s="942"/>
      <c r="BU1490" s="942"/>
      <c r="BV1490" s="84"/>
    </row>
    <row r="1491" spans="14:74" ht="14.25">
      <c r="N1491" s="84"/>
      <c r="O1491" s="84"/>
      <c r="P1491" s="84"/>
      <c r="Q1491" s="84"/>
      <c r="R1491" s="84"/>
      <c r="S1491" s="84"/>
      <c r="T1491" s="84"/>
      <c r="U1491" s="84"/>
      <c r="V1491" s="84"/>
      <c r="W1491" s="84"/>
      <c r="Y1491" s="84"/>
      <c r="Z1491" s="84"/>
      <c r="AA1491" s="84"/>
      <c r="AB1491" s="84"/>
      <c r="AC1491" s="84"/>
      <c r="AD1491" s="84"/>
      <c r="AE1491" s="84"/>
      <c r="AF1491" s="84"/>
      <c r="AG1491" s="84"/>
      <c r="AH1491" s="84"/>
      <c r="AI1491" s="84"/>
      <c r="AL1491" s="84"/>
      <c r="AM1491" s="84"/>
      <c r="AN1491" s="84"/>
      <c r="AO1491" s="84"/>
      <c r="AP1491" s="84"/>
      <c r="AQ1491" s="84"/>
      <c r="AR1491" s="84"/>
      <c r="AS1491" s="84"/>
      <c r="AT1491" s="84"/>
      <c r="AU1491" s="84"/>
      <c r="AV1491" s="84"/>
      <c r="AY1491" s="84"/>
      <c r="AZ1491" s="84"/>
      <c r="BA1491" s="84"/>
      <c r="BB1491" s="84"/>
      <c r="BC1491" s="84"/>
      <c r="BD1491" s="84"/>
      <c r="BE1491" s="84"/>
      <c r="BF1491" s="942"/>
      <c r="BG1491" s="942"/>
      <c r="BH1491" s="942"/>
      <c r="BI1491" s="84"/>
      <c r="BL1491" s="84"/>
      <c r="BM1491" s="84"/>
      <c r="BN1491" s="84"/>
      <c r="BO1491" s="84"/>
      <c r="BP1491" s="84"/>
      <c r="BQ1491" s="84"/>
      <c r="BR1491" s="84"/>
      <c r="BS1491" s="942"/>
      <c r="BT1491" s="942"/>
      <c r="BU1491" s="942"/>
      <c r="BV1491" s="84"/>
    </row>
    <row r="1492" spans="14:74" ht="14.25">
      <c r="N1492" s="84"/>
      <c r="O1492" s="84"/>
      <c r="P1492" s="84"/>
      <c r="Q1492" s="84"/>
      <c r="R1492" s="84"/>
      <c r="S1492" s="84"/>
      <c r="T1492" s="84"/>
      <c r="U1492" s="84"/>
      <c r="V1492" s="84"/>
      <c r="W1492" s="84"/>
      <c r="Y1492" s="84"/>
      <c r="Z1492" s="84"/>
      <c r="AA1492" s="84"/>
      <c r="AB1492" s="84"/>
      <c r="AC1492" s="84"/>
      <c r="AD1492" s="84"/>
      <c r="AE1492" s="84"/>
      <c r="AF1492" s="84"/>
      <c r="AG1492" s="84"/>
      <c r="AH1492" s="84"/>
      <c r="AI1492" s="84"/>
      <c r="AL1492" s="84"/>
      <c r="AM1492" s="84"/>
      <c r="AN1492" s="84"/>
      <c r="AO1492" s="84"/>
      <c r="AP1492" s="84"/>
      <c r="AQ1492" s="84"/>
      <c r="AR1492" s="84"/>
      <c r="AS1492" s="84"/>
      <c r="AT1492" s="84"/>
      <c r="AU1492" s="84"/>
      <c r="AV1492" s="84"/>
      <c r="AY1492" s="84"/>
      <c r="AZ1492" s="84"/>
      <c r="BA1492" s="84"/>
      <c r="BB1492" s="84"/>
      <c r="BC1492" s="84"/>
      <c r="BD1492" s="84"/>
      <c r="BE1492" s="84"/>
      <c r="BF1492" s="942"/>
      <c r="BG1492" s="942"/>
      <c r="BH1492" s="942"/>
      <c r="BI1492" s="84"/>
      <c r="BL1492" s="84"/>
      <c r="BM1492" s="84"/>
      <c r="BN1492" s="84"/>
      <c r="BO1492" s="84"/>
      <c r="BP1492" s="84"/>
      <c r="BQ1492" s="84"/>
      <c r="BR1492" s="84"/>
      <c r="BS1492" s="942"/>
      <c r="BT1492" s="942"/>
      <c r="BU1492" s="942"/>
      <c r="BV1492" s="84"/>
    </row>
    <row r="1493" spans="14:74" ht="14.25">
      <c r="N1493" s="84"/>
      <c r="O1493" s="84"/>
      <c r="P1493" s="84"/>
      <c r="Q1493" s="84"/>
      <c r="R1493" s="84"/>
      <c r="S1493" s="84"/>
      <c r="T1493" s="84"/>
      <c r="U1493" s="84"/>
      <c r="V1493" s="84"/>
      <c r="W1493" s="84"/>
      <c r="Y1493" s="84"/>
      <c r="Z1493" s="84"/>
      <c r="AA1493" s="84"/>
      <c r="AB1493" s="84"/>
      <c r="AC1493" s="84"/>
      <c r="AD1493" s="84"/>
      <c r="AE1493" s="84"/>
      <c r="AF1493" s="84"/>
      <c r="AG1493" s="84"/>
      <c r="AH1493" s="84"/>
      <c r="AI1493" s="84"/>
      <c r="AL1493" s="84"/>
      <c r="AM1493" s="84"/>
      <c r="AN1493" s="84"/>
      <c r="AO1493" s="84"/>
      <c r="AP1493" s="84"/>
      <c r="AQ1493" s="84"/>
      <c r="AR1493" s="84"/>
      <c r="AS1493" s="84"/>
      <c r="AT1493" s="84"/>
      <c r="AU1493" s="84"/>
      <c r="AV1493" s="84"/>
      <c r="AY1493" s="84"/>
      <c r="AZ1493" s="84"/>
      <c r="BA1493" s="84"/>
      <c r="BB1493" s="84"/>
      <c r="BC1493" s="84"/>
      <c r="BD1493" s="84"/>
      <c r="BE1493" s="84"/>
      <c r="BF1493" s="942"/>
      <c r="BG1493" s="942"/>
      <c r="BH1493" s="942"/>
      <c r="BI1493" s="84"/>
      <c r="BL1493" s="84"/>
      <c r="BM1493" s="84"/>
      <c r="BN1493" s="84"/>
      <c r="BO1493" s="84"/>
      <c r="BP1493" s="84"/>
      <c r="BQ1493" s="84"/>
      <c r="BR1493" s="84"/>
      <c r="BS1493" s="942"/>
      <c r="BT1493" s="942"/>
      <c r="BU1493" s="942"/>
      <c r="BV1493" s="84"/>
    </row>
    <row r="1494" spans="14:74" ht="14.25">
      <c r="N1494" s="84"/>
      <c r="O1494" s="84"/>
      <c r="P1494" s="84"/>
      <c r="Q1494" s="84"/>
      <c r="R1494" s="84"/>
      <c r="S1494" s="84"/>
      <c r="T1494" s="84"/>
      <c r="U1494" s="84"/>
      <c r="V1494" s="84"/>
      <c r="W1494" s="84"/>
      <c r="Y1494" s="84"/>
      <c r="Z1494" s="84"/>
      <c r="AA1494" s="84"/>
      <c r="AB1494" s="84"/>
      <c r="AC1494" s="84"/>
      <c r="AD1494" s="84"/>
      <c r="AE1494" s="84"/>
      <c r="AF1494" s="84"/>
      <c r="AG1494" s="84"/>
      <c r="AH1494" s="84"/>
      <c r="AI1494" s="84"/>
      <c r="AL1494" s="84"/>
      <c r="AM1494" s="84"/>
      <c r="AN1494" s="84"/>
      <c r="AO1494" s="84"/>
      <c r="AP1494" s="84"/>
      <c r="AQ1494" s="84"/>
      <c r="AR1494" s="84"/>
      <c r="AS1494" s="84"/>
      <c r="AT1494" s="84"/>
      <c r="AU1494" s="84"/>
      <c r="AV1494" s="84"/>
      <c r="AY1494" s="84"/>
      <c r="AZ1494" s="84"/>
      <c r="BA1494" s="84"/>
      <c r="BB1494" s="84"/>
      <c r="BC1494" s="84"/>
      <c r="BD1494" s="84"/>
      <c r="BE1494" s="84"/>
      <c r="BF1494" s="942"/>
      <c r="BG1494" s="942"/>
      <c r="BH1494" s="942"/>
      <c r="BI1494" s="84"/>
      <c r="BL1494" s="84"/>
      <c r="BM1494" s="84"/>
      <c r="BN1494" s="84"/>
      <c r="BO1494" s="84"/>
      <c r="BP1494" s="84"/>
      <c r="BQ1494" s="84"/>
      <c r="BR1494" s="84"/>
      <c r="BS1494" s="942"/>
      <c r="BT1494" s="942"/>
      <c r="BU1494" s="942"/>
      <c r="BV1494" s="84"/>
    </row>
    <row r="1495" spans="14:74" ht="14.25">
      <c r="N1495" s="84"/>
      <c r="O1495" s="84"/>
      <c r="P1495" s="84"/>
      <c r="Q1495" s="84"/>
      <c r="R1495" s="84"/>
      <c r="S1495" s="84"/>
      <c r="T1495" s="84"/>
      <c r="U1495" s="84"/>
      <c r="V1495" s="84"/>
      <c r="W1495" s="84"/>
      <c r="Y1495" s="84"/>
      <c r="Z1495" s="84"/>
      <c r="AA1495" s="84"/>
      <c r="AB1495" s="84"/>
      <c r="AC1495" s="84"/>
      <c r="AD1495" s="84"/>
      <c r="AE1495" s="84"/>
      <c r="AF1495" s="84"/>
      <c r="AG1495" s="84"/>
      <c r="AH1495" s="84"/>
      <c r="AI1495" s="84"/>
      <c r="AL1495" s="84"/>
      <c r="AM1495" s="84"/>
      <c r="AN1495" s="84"/>
      <c r="AO1495" s="84"/>
      <c r="AP1495" s="84"/>
      <c r="AQ1495" s="84"/>
      <c r="AR1495" s="84"/>
      <c r="AS1495" s="84"/>
      <c r="AT1495" s="84"/>
      <c r="AU1495" s="84"/>
      <c r="AV1495" s="84"/>
      <c r="AY1495" s="84"/>
      <c r="AZ1495" s="84"/>
      <c r="BA1495" s="84"/>
      <c r="BB1495" s="84"/>
      <c r="BC1495" s="84"/>
      <c r="BD1495" s="84"/>
      <c r="BE1495" s="84"/>
      <c r="BF1495" s="942"/>
      <c r="BG1495" s="942"/>
      <c r="BH1495" s="942"/>
      <c r="BI1495" s="84"/>
      <c r="BL1495" s="84"/>
      <c r="BM1495" s="84"/>
      <c r="BN1495" s="84"/>
      <c r="BO1495" s="84"/>
      <c r="BP1495" s="84"/>
      <c r="BQ1495" s="84"/>
      <c r="BR1495" s="84"/>
      <c r="BS1495" s="942"/>
      <c r="BT1495" s="942"/>
      <c r="BU1495" s="942"/>
      <c r="BV1495" s="84"/>
    </row>
    <row r="1496" spans="14:74" ht="14.25">
      <c r="N1496" s="84"/>
      <c r="O1496" s="84"/>
      <c r="P1496" s="84"/>
      <c r="Q1496" s="84"/>
      <c r="R1496" s="84"/>
      <c r="S1496" s="84"/>
      <c r="T1496" s="84"/>
      <c r="U1496" s="84"/>
      <c r="V1496" s="84"/>
      <c r="W1496" s="84"/>
      <c r="Y1496" s="84"/>
      <c r="Z1496" s="84"/>
      <c r="AA1496" s="84"/>
      <c r="AB1496" s="84"/>
      <c r="AC1496" s="84"/>
      <c r="AD1496" s="84"/>
      <c r="AE1496" s="84"/>
      <c r="AF1496" s="84"/>
      <c r="AG1496" s="84"/>
      <c r="AH1496" s="84"/>
      <c r="AI1496" s="84"/>
      <c r="AL1496" s="84"/>
      <c r="AM1496" s="84"/>
      <c r="AN1496" s="84"/>
      <c r="AO1496" s="84"/>
      <c r="AP1496" s="84"/>
      <c r="AQ1496" s="84"/>
      <c r="AR1496" s="84"/>
      <c r="AS1496" s="84"/>
      <c r="AT1496" s="84"/>
      <c r="AU1496" s="84"/>
      <c r="AV1496" s="84"/>
      <c r="AY1496" s="84"/>
      <c r="AZ1496" s="84"/>
      <c r="BA1496" s="84"/>
      <c r="BB1496" s="84"/>
      <c r="BC1496" s="84"/>
      <c r="BD1496" s="84"/>
      <c r="BE1496" s="84"/>
      <c r="BF1496" s="942"/>
      <c r="BG1496" s="942"/>
      <c r="BH1496" s="942"/>
      <c r="BI1496" s="84"/>
      <c r="BL1496" s="84"/>
      <c r="BM1496" s="84"/>
      <c r="BN1496" s="84"/>
      <c r="BO1496" s="84"/>
      <c r="BP1496" s="84"/>
      <c r="BQ1496" s="84"/>
      <c r="BR1496" s="84"/>
      <c r="BS1496" s="942"/>
      <c r="BT1496" s="942"/>
      <c r="BU1496" s="942"/>
      <c r="BV1496" s="84"/>
    </row>
    <row r="1497" spans="14:74" ht="14.25">
      <c r="N1497" s="84"/>
      <c r="O1497" s="84"/>
      <c r="P1497" s="84"/>
      <c r="Q1497" s="84"/>
      <c r="R1497" s="84"/>
      <c r="S1497" s="84"/>
      <c r="T1497" s="84"/>
      <c r="U1497" s="84"/>
      <c r="V1497" s="84"/>
      <c r="W1497" s="84"/>
      <c r="Y1497" s="84"/>
      <c r="Z1497" s="84"/>
      <c r="AA1497" s="84"/>
      <c r="AB1497" s="84"/>
      <c r="AC1497" s="84"/>
      <c r="AD1497" s="84"/>
      <c r="AE1497" s="84"/>
      <c r="AF1497" s="84"/>
      <c r="AG1497" s="84"/>
      <c r="AH1497" s="84"/>
      <c r="AI1497" s="84"/>
      <c r="AL1497" s="84"/>
      <c r="AM1497" s="84"/>
      <c r="AN1497" s="84"/>
      <c r="AO1497" s="84"/>
      <c r="AP1497" s="84"/>
      <c r="AQ1497" s="84"/>
      <c r="AR1497" s="84"/>
      <c r="AS1497" s="84"/>
      <c r="AT1497" s="84"/>
      <c r="AU1497" s="84"/>
      <c r="AV1497" s="84"/>
      <c r="AY1497" s="84"/>
      <c r="AZ1497" s="84"/>
      <c r="BA1497" s="84"/>
      <c r="BB1497" s="84"/>
      <c r="BC1497" s="84"/>
      <c r="BD1497" s="84"/>
      <c r="BE1497" s="84"/>
      <c r="BF1497" s="942"/>
      <c r="BG1497" s="942"/>
      <c r="BH1497" s="942"/>
      <c r="BI1497" s="84"/>
      <c r="BL1497" s="84"/>
      <c r="BM1497" s="84"/>
      <c r="BN1497" s="84"/>
      <c r="BO1497" s="84"/>
      <c r="BP1497" s="84"/>
      <c r="BQ1497" s="84"/>
      <c r="BR1497" s="84"/>
      <c r="BS1497" s="942"/>
      <c r="BT1497" s="942"/>
      <c r="BU1497" s="942"/>
      <c r="BV1497" s="84"/>
    </row>
    <row r="1498" spans="14:74" ht="14.25">
      <c r="N1498" s="84"/>
      <c r="O1498" s="84"/>
      <c r="P1498" s="84"/>
      <c r="Q1498" s="84"/>
      <c r="R1498" s="84"/>
      <c r="S1498" s="84"/>
      <c r="T1498" s="84"/>
      <c r="U1498" s="84"/>
      <c r="V1498" s="84"/>
      <c r="W1498" s="84"/>
      <c r="Y1498" s="84"/>
      <c r="Z1498" s="84"/>
      <c r="AA1498" s="84"/>
      <c r="AB1498" s="84"/>
      <c r="AC1498" s="84"/>
      <c r="AD1498" s="84"/>
      <c r="AE1498" s="84"/>
      <c r="AF1498" s="84"/>
      <c r="AG1498" s="84"/>
      <c r="AH1498" s="84"/>
      <c r="AI1498" s="84"/>
      <c r="AL1498" s="84"/>
      <c r="AM1498" s="84"/>
      <c r="AN1498" s="84"/>
      <c r="AO1498" s="84"/>
      <c r="AP1498" s="84"/>
      <c r="AQ1498" s="84"/>
      <c r="AR1498" s="84"/>
      <c r="AS1498" s="84"/>
      <c r="AT1498" s="84"/>
      <c r="AU1498" s="84"/>
      <c r="AV1498" s="84"/>
      <c r="AY1498" s="84"/>
      <c r="AZ1498" s="84"/>
      <c r="BA1498" s="84"/>
      <c r="BB1498" s="84"/>
      <c r="BC1498" s="84"/>
      <c r="BD1498" s="84"/>
      <c r="BE1498" s="84"/>
      <c r="BF1498" s="942"/>
      <c r="BG1498" s="942"/>
      <c r="BH1498" s="942"/>
      <c r="BI1498" s="84"/>
      <c r="BL1498" s="84"/>
      <c r="BM1498" s="84"/>
      <c r="BN1498" s="84"/>
      <c r="BO1498" s="84"/>
      <c r="BP1498" s="84"/>
      <c r="BQ1498" s="84"/>
      <c r="BR1498" s="84"/>
      <c r="BS1498" s="942"/>
      <c r="BT1498" s="942"/>
      <c r="BU1498" s="942"/>
      <c r="BV1498" s="84"/>
    </row>
    <row r="1499" spans="14:74" ht="14.25">
      <c r="N1499" s="84"/>
      <c r="O1499" s="84"/>
      <c r="P1499" s="84"/>
      <c r="Q1499" s="84"/>
      <c r="R1499" s="84"/>
      <c r="S1499" s="84"/>
      <c r="T1499" s="84"/>
      <c r="U1499" s="84"/>
      <c r="V1499" s="84"/>
      <c r="W1499" s="84"/>
      <c r="Y1499" s="84"/>
      <c r="Z1499" s="84"/>
      <c r="AA1499" s="84"/>
      <c r="AB1499" s="84"/>
      <c r="AC1499" s="84"/>
      <c r="AD1499" s="84"/>
      <c r="AE1499" s="84"/>
      <c r="AF1499" s="84"/>
      <c r="AG1499" s="84"/>
      <c r="AH1499" s="84"/>
      <c r="AI1499" s="84"/>
      <c r="AL1499" s="84"/>
      <c r="AM1499" s="84"/>
      <c r="AN1499" s="84"/>
      <c r="AO1499" s="84"/>
      <c r="AP1499" s="84"/>
      <c r="AQ1499" s="84"/>
      <c r="AR1499" s="84"/>
      <c r="AS1499" s="84"/>
      <c r="AT1499" s="84"/>
      <c r="AU1499" s="84"/>
      <c r="AV1499" s="84"/>
      <c r="AY1499" s="84"/>
      <c r="AZ1499" s="84"/>
      <c r="BA1499" s="84"/>
      <c r="BB1499" s="84"/>
      <c r="BC1499" s="84"/>
      <c r="BD1499" s="84"/>
      <c r="BE1499" s="84"/>
      <c r="BF1499" s="942"/>
      <c r="BG1499" s="942"/>
      <c r="BH1499" s="942"/>
      <c r="BI1499" s="84"/>
      <c r="BL1499" s="84"/>
      <c r="BM1499" s="84"/>
      <c r="BN1499" s="84"/>
      <c r="BO1499" s="84"/>
      <c r="BP1499" s="84"/>
      <c r="BQ1499" s="84"/>
      <c r="BR1499" s="84"/>
      <c r="BS1499" s="942"/>
      <c r="BT1499" s="942"/>
      <c r="BU1499" s="942"/>
      <c r="BV1499" s="84"/>
    </row>
    <row r="1500" spans="14:74" ht="14.25">
      <c r="N1500" s="84"/>
      <c r="O1500" s="84"/>
      <c r="P1500" s="84"/>
      <c r="Q1500" s="84"/>
      <c r="R1500" s="84"/>
      <c r="S1500" s="84"/>
      <c r="T1500" s="84"/>
      <c r="U1500" s="84"/>
      <c r="V1500" s="84"/>
      <c r="W1500" s="84"/>
      <c r="Y1500" s="84"/>
      <c r="Z1500" s="84"/>
      <c r="AA1500" s="84"/>
      <c r="AB1500" s="84"/>
      <c r="AC1500" s="84"/>
      <c r="AD1500" s="84"/>
      <c r="AE1500" s="84"/>
      <c r="AF1500" s="84"/>
      <c r="AG1500" s="84"/>
      <c r="AH1500" s="84"/>
      <c r="AI1500" s="84"/>
      <c r="AL1500" s="84"/>
      <c r="AM1500" s="84"/>
      <c r="AN1500" s="84"/>
      <c r="AO1500" s="84"/>
      <c r="AP1500" s="84"/>
      <c r="AQ1500" s="84"/>
      <c r="AR1500" s="84"/>
      <c r="AS1500" s="84"/>
      <c r="AT1500" s="84"/>
      <c r="AU1500" s="84"/>
      <c r="AV1500" s="84"/>
      <c r="AY1500" s="84"/>
      <c r="AZ1500" s="84"/>
      <c r="BA1500" s="84"/>
      <c r="BB1500" s="84"/>
      <c r="BC1500" s="84"/>
      <c r="BD1500" s="84"/>
      <c r="BE1500" s="84"/>
      <c r="BF1500" s="942"/>
      <c r="BG1500" s="942"/>
      <c r="BH1500" s="942"/>
      <c r="BI1500" s="84"/>
      <c r="BL1500" s="84"/>
      <c r="BM1500" s="84"/>
      <c r="BN1500" s="84"/>
      <c r="BO1500" s="84"/>
      <c r="BP1500" s="84"/>
      <c r="BQ1500" s="84"/>
      <c r="BR1500" s="84"/>
      <c r="BS1500" s="942"/>
      <c r="BT1500" s="942"/>
      <c r="BU1500" s="942"/>
      <c r="BV1500" s="84"/>
    </row>
    <row r="1501" spans="14:74" ht="14.25">
      <c r="N1501" s="84"/>
      <c r="O1501" s="84"/>
      <c r="P1501" s="84"/>
      <c r="Q1501" s="84"/>
      <c r="R1501" s="84"/>
      <c r="S1501" s="84"/>
      <c r="T1501" s="84"/>
      <c r="U1501" s="84"/>
      <c r="V1501" s="84"/>
      <c r="W1501" s="84"/>
      <c r="Y1501" s="84"/>
      <c r="Z1501" s="84"/>
      <c r="AA1501" s="84"/>
      <c r="AB1501" s="84"/>
      <c r="AC1501" s="84"/>
      <c r="AD1501" s="84"/>
      <c r="AE1501" s="84"/>
      <c r="AF1501" s="84"/>
      <c r="AG1501" s="84"/>
      <c r="AH1501" s="84"/>
      <c r="AI1501" s="84"/>
      <c r="AL1501" s="84"/>
      <c r="AM1501" s="84"/>
      <c r="AN1501" s="84"/>
      <c r="AO1501" s="84"/>
      <c r="AP1501" s="84"/>
      <c r="AQ1501" s="84"/>
      <c r="AR1501" s="84"/>
      <c r="AS1501" s="84"/>
      <c r="AT1501" s="84"/>
      <c r="AU1501" s="84"/>
      <c r="AV1501" s="84"/>
      <c r="AY1501" s="84"/>
      <c r="AZ1501" s="84"/>
      <c r="BA1501" s="84"/>
      <c r="BB1501" s="84"/>
      <c r="BC1501" s="84"/>
      <c r="BD1501" s="84"/>
      <c r="BE1501" s="84"/>
      <c r="BF1501" s="942"/>
      <c r="BG1501" s="942"/>
      <c r="BH1501" s="942"/>
      <c r="BI1501" s="84"/>
      <c r="BL1501" s="84"/>
      <c r="BM1501" s="84"/>
      <c r="BN1501" s="84"/>
      <c r="BO1501" s="84"/>
      <c r="BP1501" s="84"/>
      <c r="BQ1501" s="84"/>
      <c r="BR1501" s="84"/>
      <c r="BS1501" s="942"/>
      <c r="BT1501" s="942"/>
      <c r="BU1501" s="942"/>
      <c r="BV1501" s="84"/>
    </row>
    <row r="1502" spans="14:74" ht="14.25">
      <c r="N1502" s="84"/>
      <c r="O1502" s="84"/>
      <c r="P1502" s="84"/>
      <c r="Q1502" s="84"/>
      <c r="R1502" s="84"/>
      <c r="S1502" s="84"/>
      <c r="T1502" s="84"/>
      <c r="U1502" s="84"/>
      <c r="V1502" s="84"/>
      <c r="W1502" s="84"/>
      <c r="Y1502" s="84"/>
      <c r="Z1502" s="84"/>
      <c r="AA1502" s="84"/>
      <c r="AB1502" s="84"/>
      <c r="AC1502" s="84"/>
      <c r="AD1502" s="84"/>
      <c r="AE1502" s="84"/>
      <c r="AF1502" s="84"/>
      <c r="AG1502" s="84"/>
      <c r="AH1502" s="84"/>
      <c r="AI1502" s="84"/>
      <c r="AL1502" s="84"/>
      <c r="AM1502" s="84"/>
      <c r="AN1502" s="84"/>
      <c r="AO1502" s="84"/>
      <c r="AP1502" s="84"/>
      <c r="AQ1502" s="84"/>
      <c r="AR1502" s="84"/>
      <c r="AS1502" s="84"/>
      <c r="AT1502" s="84"/>
      <c r="AU1502" s="84"/>
      <c r="AV1502" s="84"/>
      <c r="AY1502" s="84"/>
      <c r="AZ1502" s="84"/>
      <c r="BA1502" s="84"/>
      <c r="BB1502" s="84"/>
      <c r="BC1502" s="84"/>
      <c r="BD1502" s="84"/>
      <c r="BE1502" s="84"/>
      <c r="BF1502" s="942"/>
      <c r="BG1502" s="942"/>
      <c r="BH1502" s="942"/>
      <c r="BI1502" s="84"/>
      <c r="BL1502" s="84"/>
      <c r="BM1502" s="84"/>
      <c r="BN1502" s="84"/>
      <c r="BO1502" s="84"/>
      <c r="BP1502" s="84"/>
      <c r="BQ1502" s="84"/>
      <c r="BR1502" s="84"/>
      <c r="BS1502" s="942"/>
      <c r="BT1502" s="942"/>
      <c r="BU1502" s="942"/>
      <c r="BV1502" s="84"/>
    </row>
    <row r="1503" spans="14:74" ht="14.25">
      <c r="N1503" s="84"/>
      <c r="O1503" s="84"/>
      <c r="P1503" s="84"/>
      <c r="Q1503" s="84"/>
      <c r="R1503" s="84"/>
      <c r="S1503" s="84"/>
      <c r="T1503" s="84"/>
      <c r="U1503" s="84"/>
      <c r="V1503" s="84"/>
      <c r="W1503" s="84"/>
      <c r="Y1503" s="84"/>
      <c r="Z1503" s="84"/>
      <c r="AA1503" s="84"/>
      <c r="AB1503" s="84"/>
      <c r="AC1503" s="84"/>
      <c r="AD1503" s="84"/>
      <c r="AE1503" s="84"/>
      <c r="AF1503" s="84"/>
      <c r="AG1503" s="84"/>
      <c r="AH1503" s="84"/>
      <c r="AI1503" s="84"/>
      <c r="AL1503" s="84"/>
      <c r="AM1503" s="84"/>
      <c r="AN1503" s="84"/>
      <c r="AO1503" s="84"/>
      <c r="AP1503" s="84"/>
      <c r="AQ1503" s="84"/>
      <c r="AR1503" s="84"/>
      <c r="AS1503" s="84"/>
      <c r="AT1503" s="84"/>
      <c r="AU1503" s="84"/>
      <c r="AV1503" s="84"/>
      <c r="AY1503" s="84"/>
      <c r="AZ1503" s="84"/>
      <c r="BA1503" s="84"/>
      <c r="BB1503" s="84"/>
      <c r="BC1503" s="84"/>
      <c r="BD1503" s="84"/>
      <c r="BE1503" s="84"/>
      <c r="BF1503" s="942"/>
      <c r="BG1503" s="942"/>
      <c r="BH1503" s="942"/>
      <c r="BI1503" s="84"/>
      <c r="BL1503" s="84"/>
      <c r="BM1503" s="84"/>
      <c r="BN1503" s="84"/>
      <c r="BO1503" s="84"/>
      <c r="BP1503" s="84"/>
      <c r="BQ1503" s="84"/>
      <c r="BR1503" s="84"/>
      <c r="BS1503" s="942"/>
      <c r="BT1503" s="942"/>
      <c r="BU1503" s="942"/>
      <c r="BV1503" s="84"/>
    </row>
    <row r="1504" spans="14:74" ht="14.25">
      <c r="N1504" s="84"/>
      <c r="O1504" s="84"/>
      <c r="P1504" s="84"/>
      <c r="Q1504" s="84"/>
      <c r="R1504" s="84"/>
      <c r="S1504" s="84"/>
      <c r="T1504" s="84"/>
      <c r="U1504" s="84"/>
      <c r="V1504" s="84"/>
      <c r="W1504" s="84"/>
      <c r="Y1504" s="84"/>
      <c r="Z1504" s="84"/>
      <c r="AA1504" s="84"/>
      <c r="AB1504" s="84"/>
      <c r="AC1504" s="84"/>
      <c r="AD1504" s="84"/>
      <c r="AE1504" s="84"/>
      <c r="AF1504" s="84"/>
      <c r="AG1504" s="84"/>
      <c r="AH1504" s="84"/>
      <c r="AI1504" s="84"/>
      <c r="AL1504" s="84"/>
      <c r="AM1504" s="84"/>
      <c r="AN1504" s="84"/>
      <c r="AO1504" s="84"/>
      <c r="AP1504" s="84"/>
      <c r="AQ1504" s="84"/>
      <c r="AR1504" s="84"/>
      <c r="AS1504" s="84"/>
      <c r="AT1504" s="84"/>
      <c r="AU1504" s="84"/>
      <c r="AV1504" s="84"/>
      <c r="AY1504" s="84"/>
      <c r="AZ1504" s="84"/>
      <c r="BA1504" s="84"/>
      <c r="BB1504" s="84"/>
      <c r="BC1504" s="84"/>
      <c r="BD1504" s="84"/>
      <c r="BE1504" s="84"/>
      <c r="BF1504" s="942"/>
      <c r="BG1504" s="942"/>
      <c r="BH1504" s="942"/>
      <c r="BI1504" s="84"/>
      <c r="BL1504" s="84"/>
      <c r="BM1504" s="84"/>
      <c r="BN1504" s="84"/>
      <c r="BO1504" s="84"/>
      <c r="BP1504" s="84"/>
      <c r="BQ1504" s="84"/>
      <c r="BR1504" s="84"/>
      <c r="BS1504" s="942"/>
      <c r="BT1504" s="942"/>
      <c r="BU1504" s="942"/>
      <c r="BV1504" s="84"/>
    </row>
    <row r="1505" spans="14:74" ht="14.25">
      <c r="N1505" s="84"/>
      <c r="O1505" s="84"/>
      <c r="P1505" s="84"/>
      <c r="Q1505" s="84"/>
      <c r="R1505" s="84"/>
      <c r="S1505" s="84"/>
      <c r="T1505" s="84"/>
      <c r="U1505" s="84"/>
      <c r="V1505" s="84"/>
      <c r="W1505" s="84"/>
      <c r="Y1505" s="84"/>
      <c r="Z1505" s="84"/>
      <c r="AA1505" s="84"/>
      <c r="AB1505" s="84"/>
      <c r="AC1505" s="84"/>
      <c r="AD1505" s="84"/>
      <c r="AE1505" s="84"/>
      <c r="AF1505" s="84"/>
      <c r="AG1505" s="84"/>
      <c r="AH1505" s="84"/>
      <c r="AI1505" s="84"/>
      <c r="AL1505" s="84"/>
      <c r="AM1505" s="84"/>
      <c r="AN1505" s="84"/>
      <c r="AO1505" s="84"/>
      <c r="AP1505" s="84"/>
      <c r="AQ1505" s="84"/>
      <c r="AR1505" s="84"/>
      <c r="AS1505" s="84"/>
      <c r="AT1505" s="84"/>
      <c r="AU1505" s="84"/>
      <c r="AV1505" s="84"/>
      <c r="AY1505" s="84"/>
      <c r="AZ1505" s="84"/>
      <c r="BA1505" s="84"/>
      <c r="BB1505" s="84"/>
      <c r="BC1505" s="84"/>
      <c r="BD1505" s="84"/>
      <c r="BE1505" s="84"/>
      <c r="BF1505" s="942"/>
      <c r="BG1505" s="942"/>
      <c r="BH1505" s="942"/>
      <c r="BI1505" s="84"/>
      <c r="BL1505" s="84"/>
      <c r="BM1505" s="84"/>
      <c r="BN1505" s="84"/>
      <c r="BO1505" s="84"/>
      <c r="BP1505" s="84"/>
      <c r="BQ1505" s="84"/>
      <c r="BR1505" s="84"/>
      <c r="BS1505" s="942"/>
      <c r="BT1505" s="942"/>
      <c r="BU1505" s="942"/>
      <c r="BV1505" s="84"/>
    </row>
    <row r="1506" spans="14:74" ht="14.25">
      <c r="N1506" s="84"/>
      <c r="O1506" s="84"/>
      <c r="P1506" s="84"/>
      <c r="Q1506" s="84"/>
      <c r="R1506" s="84"/>
      <c r="S1506" s="84"/>
      <c r="T1506" s="84"/>
      <c r="U1506" s="84"/>
      <c r="V1506" s="84"/>
      <c r="W1506" s="84"/>
      <c r="Y1506" s="84"/>
      <c r="Z1506" s="84"/>
      <c r="AA1506" s="84"/>
      <c r="AB1506" s="84"/>
      <c r="AC1506" s="84"/>
      <c r="AD1506" s="84"/>
      <c r="AE1506" s="84"/>
      <c r="AF1506" s="84"/>
      <c r="AG1506" s="84"/>
      <c r="AH1506" s="84"/>
      <c r="AI1506" s="84"/>
      <c r="AL1506" s="84"/>
      <c r="AM1506" s="84"/>
      <c r="AN1506" s="84"/>
      <c r="AO1506" s="84"/>
      <c r="AP1506" s="84"/>
      <c r="AQ1506" s="84"/>
      <c r="AR1506" s="84"/>
      <c r="AS1506" s="84"/>
      <c r="AT1506" s="84"/>
      <c r="AU1506" s="84"/>
      <c r="AV1506" s="84"/>
      <c r="AY1506" s="84"/>
      <c r="AZ1506" s="84"/>
      <c r="BA1506" s="84"/>
      <c r="BB1506" s="84"/>
      <c r="BC1506" s="84"/>
      <c r="BD1506" s="84"/>
      <c r="BE1506" s="84"/>
      <c r="BF1506" s="942"/>
      <c r="BG1506" s="942"/>
      <c r="BH1506" s="942"/>
      <c r="BI1506" s="84"/>
      <c r="BL1506" s="84"/>
      <c r="BM1506" s="84"/>
      <c r="BN1506" s="84"/>
      <c r="BO1506" s="84"/>
      <c r="BP1506" s="84"/>
      <c r="BQ1506" s="84"/>
      <c r="BR1506" s="84"/>
      <c r="BS1506" s="942"/>
      <c r="BT1506" s="942"/>
      <c r="BU1506" s="942"/>
      <c r="BV1506" s="84"/>
    </row>
    <row r="1507" spans="14:74" ht="14.25">
      <c r="N1507" s="84"/>
      <c r="O1507" s="84"/>
      <c r="P1507" s="84"/>
      <c r="Q1507" s="84"/>
      <c r="R1507" s="84"/>
      <c r="S1507" s="84"/>
      <c r="T1507" s="84"/>
      <c r="U1507" s="84"/>
      <c r="V1507" s="84"/>
      <c r="W1507" s="84"/>
      <c r="Y1507" s="84"/>
      <c r="Z1507" s="84"/>
      <c r="AA1507" s="84"/>
      <c r="AB1507" s="84"/>
      <c r="AC1507" s="84"/>
      <c r="AD1507" s="84"/>
      <c r="AE1507" s="84"/>
      <c r="AF1507" s="84"/>
      <c r="AG1507" s="84"/>
      <c r="AH1507" s="84"/>
      <c r="AI1507" s="84"/>
      <c r="AL1507" s="84"/>
      <c r="AM1507" s="84"/>
      <c r="AN1507" s="84"/>
      <c r="AO1507" s="84"/>
      <c r="AP1507" s="84"/>
      <c r="AQ1507" s="84"/>
      <c r="AR1507" s="84"/>
      <c r="AS1507" s="84"/>
      <c r="AT1507" s="84"/>
      <c r="AU1507" s="84"/>
      <c r="AV1507" s="84"/>
      <c r="AY1507" s="84"/>
      <c r="AZ1507" s="84"/>
      <c r="BA1507" s="84"/>
      <c r="BB1507" s="84"/>
      <c r="BC1507" s="84"/>
      <c r="BD1507" s="84"/>
      <c r="BE1507" s="84"/>
      <c r="BF1507" s="942"/>
      <c r="BG1507" s="942"/>
      <c r="BH1507" s="942"/>
      <c r="BI1507" s="84"/>
      <c r="BL1507" s="84"/>
      <c r="BM1507" s="84"/>
      <c r="BN1507" s="84"/>
      <c r="BO1507" s="84"/>
      <c r="BP1507" s="84"/>
      <c r="BQ1507" s="84"/>
      <c r="BR1507" s="84"/>
      <c r="BS1507" s="942"/>
      <c r="BT1507" s="942"/>
      <c r="BU1507" s="942"/>
      <c r="BV1507" s="84"/>
    </row>
    <row r="1508" spans="14:74" ht="14.25">
      <c r="N1508" s="84"/>
      <c r="O1508" s="84"/>
      <c r="P1508" s="84"/>
      <c r="Q1508" s="84"/>
      <c r="R1508" s="84"/>
      <c r="S1508" s="84"/>
      <c r="T1508" s="84"/>
      <c r="U1508" s="84"/>
      <c r="V1508" s="84"/>
      <c r="W1508" s="84"/>
      <c r="Y1508" s="84"/>
      <c r="Z1508" s="84"/>
      <c r="AA1508" s="84"/>
      <c r="AB1508" s="84"/>
      <c r="AC1508" s="84"/>
      <c r="AD1508" s="84"/>
      <c r="AE1508" s="84"/>
      <c r="AF1508" s="84"/>
      <c r="AG1508" s="84"/>
      <c r="AH1508" s="84"/>
      <c r="AI1508" s="84"/>
      <c r="AL1508" s="84"/>
      <c r="AM1508" s="84"/>
      <c r="AN1508" s="84"/>
      <c r="AO1508" s="84"/>
      <c r="AP1508" s="84"/>
      <c r="AQ1508" s="84"/>
      <c r="AR1508" s="84"/>
      <c r="AS1508" s="84"/>
      <c r="AT1508" s="84"/>
      <c r="AU1508" s="84"/>
      <c r="AV1508" s="84"/>
      <c r="AY1508" s="84"/>
      <c r="AZ1508" s="84"/>
      <c r="BA1508" s="84"/>
      <c r="BB1508" s="84"/>
      <c r="BC1508" s="84"/>
      <c r="BD1508" s="84"/>
      <c r="BE1508" s="84"/>
      <c r="BF1508" s="942"/>
      <c r="BG1508" s="942"/>
      <c r="BH1508" s="942"/>
      <c r="BI1508" s="84"/>
      <c r="BL1508" s="84"/>
      <c r="BM1508" s="84"/>
      <c r="BN1508" s="84"/>
      <c r="BO1508" s="84"/>
      <c r="BP1508" s="84"/>
      <c r="BQ1508" s="84"/>
      <c r="BR1508" s="84"/>
      <c r="BS1508" s="942"/>
      <c r="BT1508" s="942"/>
      <c r="BU1508" s="942"/>
      <c r="BV1508" s="84"/>
    </row>
    <row r="1509" spans="14:74" ht="14.25">
      <c r="N1509" s="84"/>
      <c r="O1509" s="84"/>
      <c r="P1509" s="84"/>
      <c r="Q1509" s="84"/>
      <c r="R1509" s="84"/>
      <c r="S1509" s="84"/>
      <c r="T1509" s="84"/>
      <c r="U1509" s="84"/>
      <c r="V1509" s="84"/>
      <c r="W1509" s="84"/>
      <c r="Y1509" s="84"/>
      <c r="Z1509" s="84"/>
      <c r="AA1509" s="84"/>
      <c r="AB1509" s="84"/>
      <c r="AC1509" s="84"/>
      <c r="AD1509" s="84"/>
      <c r="AE1509" s="84"/>
      <c r="AF1509" s="84"/>
      <c r="AG1509" s="84"/>
      <c r="AH1509" s="84"/>
      <c r="AI1509" s="84"/>
      <c r="AL1509" s="84"/>
      <c r="AM1509" s="84"/>
      <c r="AN1509" s="84"/>
      <c r="AO1509" s="84"/>
      <c r="AP1509" s="84"/>
      <c r="AQ1509" s="84"/>
      <c r="AR1509" s="84"/>
      <c r="AS1509" s="84"/>
      <c r="AT1509" s="84"/>
      <c r="AU1509" s="84"/>
      <c r="AV1509" s="84"/>
      <c r="AY1509" s="84"/>
      <c r="AZ1509" s="84"/>
      <c r="BA1509" s="84"/>
      <c r="BB1509" s="84"/>
      <c r="BC1509" s="84"/>
      <c r="BD1509" s="84"/>
      <c r="BE1509" s="84"/>
      <c r="BF1509" s="942"/>
      <c r="BG1509" s="942"/>
      <c r="BH1509" s="942"/>
      <c r="BI1509" s="84"/>
      <c r="BL1509" s="84"/>
      <c r="BM1509" s="84"/>
      <c r="BN1509" s="84"/>
      <c r="BO1509" s="84"/>
      <c r="BP1509" s="84"/>
      <c r="BQ1509" s="84"/>
      <c r="BR1509" s="84"/>
      <c r="BS1509" s="942"/>
      <c r="BT1509" s="942"/>
      <c r="BU1509" s="942"/>
      <c r="BV1509" s="84"/>
    </row>
    <row r="1510" spans="14:74" ht="14.25">
      <c r="N1510" s="84"/>
      <c r="O1510" s="84"/>
      <c r="P1510" s="84"/>
      <c r="Q1510" s="84"/>
      <c r="R1510" s="84"/>
      <c r="S1510" s="84"/>
      <c r="T1510" s="84"/>
      <c r="U1510" s="84"/>
      <c r="V1510" s="84"/>
      <c r="W1510" s="84"/>
      <c r="Y1510" s="84"/>
      <c r="Z1510" s="84"/>
      <c r="AA1510" s="84"/>
      <c r="AB1510" s="84"/>
      <c r="AC1510" s="84"/>
      <c r="AD1510" s="84"/>
      <c r="AE1510" s="84"/>
      <c r="AF1510" s="84"/>
      <c r="AG1510" s="84"/>
      <c r="AH1510" s="84"/>
      <c r="AI1510" s="84"/>
      <c r="AL1510" s="84"/>
      <c r="AM1510" s="84"/>
      <c r="AN1510" s="84"/>
      <c r="AO1510" s="84"/>
      <c r="AP1510" s="84"/>
      <c r="AQ1510" s="84"/>
      <c r="AR1510" s="84"/>
      <c r="AS1510" s="84"/>
      <c r="AT1510" s="84"/>
      <c r="AU1510" s="84"/>
      <c r="AV1510" s="84"/>
      <c r="AY1510" s="84"/>
      <c r="AZ1510" s="84"/>
      <c r="BA1510" s="84"/>
      <c r="BB1510" s="84"/>
      <c r="BC1510" s="84"/>
      <c r="BD1510" s="84"/>
      <c r="BE1510" s="84"/>
      <c r="BF1510" s="942"/>
      <c r="BG1510" s="942"/>
      <c r="BH1510" s="942"/>
      <c r="BI1510" s="84"/>
      <c r="BL1510" s="84"/>
      <c r="BM1510" s="84"/>
      <c r="BN1510" s="84"/>
      <c r="BO1510" s="84"/>
      <c r="BP1510" s="84"/>
      <c r="BQ1510" s="84"/>
      <c r="BR1510" s="84"/>
      <c r="BS1510" s="942"/>
      <c r="BT1510" s="942"/>
      <c r="BU1510" s="942"/>
      <c r="BV1510" s="84"/>
    </row>
    <row r="1511" spans="14:74" ht="14.25">
      <c r="N1511" s="84"/>
      <c r="O1511" s="84"/>
      <c r="P1511" s="84"/>
      <c r="Q1511" s="84"/>
      <c r="R1511" s="84"/>
      <c r="S1511" s="84"/>
      <c r="T1511" s="84"/>
      <c r="U1511" s="84"/>
      <c r="V1511" s="84"/>
      <c r="W1511" s="84"/>
      <c r="Y1511" s="84"/>
      <c r="Z1511" s="84"/>
      <c r="AA1511" s="84"/>
      <c r="AB1511" s="84"/>
      <c r="AC1511" s="84"/>
      <c r="AD1511" s="84"/>
      <c r="AE1511" s="84"/>
      <c r="AF1511" s="84"/>
      <c r="AG1511" s="84"/>
      <c r="AH1511" s="84"/>
      <c r="AI1511" s="84"/>
      <c r="AL1511" s="84"/>
      <c r="AM1511" s="84"/>
      <c r="AN1511" s="84"/>
      <c r="AO1511" s="84"/>
      <c r="AP1511" s="84"/>
      <c r="AQ1511" s="84"/>
      <c r="AR1511" s="84"/>
      <c r="AS1511" s="84"/>
      <c r="AT1511" s="84"/>
      <c r="AU1511" s="84"/>
      <c r="AV1511" s="84"/>
      <c r="AY1511" s="84"/>
      <c r="AZ1511" s="84"/>
      <c r="BA1511" s="84"/>
      <c r="BB1511" s="84"/>
      <c r="BC1511" s="84"/>
      <c r="BD1511" s="84"/>
      <c r="BE1511" s="84"/>
      <c r="BF1511" s="942"/>
      <c r="BG1511" s="942"/>
      <c r="BH1511" s="942"/>
      <c r="BI1511" s="84"/>
      <c r="BL1511" s="84"/>
      <c r="BM1511" s="84"/>
      <c r="BN1511" s="84"/>
      <c r="BO1511" s="84"/>
      <c r="BP1511" s="84"/>
      <c r="BQ1511" s="84"/>
      <c r="BR1511" s="84"/>
      <c r="BS1511" s="942"/>
      <c r="BT1511" s="942"/>
      <c r="BU1511" s="942"/>
      <c r="BV1511" s="84"/>
    </row>
    <row r="1512" spans="14:74" ht="14.25">
      <c r="N1512" s="84"/>
      <c r="O1512" s="84"/>
      <c r="P1512" s="84"/>
      <c r="Q1512" s="84"/>
      <c r="R1512" s="84"/>
      <c r="S1512" s="84"/>
      <c r="T1512" s="84"/>
      <c r="U1512" s="84"/>
      <c r="V1512" s="84"/>
      <c r="W1512" s="84"/>
      <c r="Y1512" s="84"/>
      <c r="Z1512" s="84"/>
      <c r="AA1512" s="84"/>
      <c r="AB1512" s="84"/>
      <c r="AC1512" s="84"/>
      <c r="AD1512" s="84"/>
      <c r="AE1512" s="84"/>
      <c r="AF1512" s="84"/>
      <c r="AG1512" s="84"/>
      <c r="AH1512" s="84"/>
      <c r="AI1512" s="84"/>
      <c r="AL1512" s="84"/>
      <c r="AM1512" s="84"/>
      <c r="AN1512" s="84"/>
      <c r="AO1512" s="84"/>
      <c r="AP1512" s="84"/>
      <c r="AQ1512" s="84"/>
      <c r="AR1512" s="84"/>
      <c r="AS1512" s="84"/>
      <c r="AT1512" s="84"/>
      <c r="AU1512" s="84"/>
      <c r="AV1512" s="84"/>
      <c r="AY1512" s="84"/>
      <c r="AZ1512" s="84"/>
      <c r="BA1512" s="84"/>
      <c r="BB1512" s="84"/>
      <c r="BC1512" s="84"/>
      <c r="BD1512" s="84"/>
      <c r="BE1512" s="84"/>
      <c r="BF1512" s="942"/>
      <c r="BG1512" s="942"/>
      <c r="BH1512" s="942"/>
      <c r="BI1512" s="84"/>
      <c r="BL1512" s="84"/>
      <c r="BM1512" s="84"/>
      <c r="BN1512" s="84"/>
      <c r="BO1512" s="84"/>
      <c r="BP1512" s="84"/>
      <c r="BQ1512" s="84"/>
      <c r="BR1512" s="84"/>
      <c r="BS1512" s="942"/>
      <c r="BT1512" s="942"/>
      <c r="BU1512" s="942"/>
      <c r="BV1512" s="84"/>
    </row>
    <row r="1513" spans="14:74" ht="14.25">
      <c r="N1513" s="84"/>
      <c r="O1513" s="84"/>
      <c r="P1513" s="84"/>
      <c r="Q1513" s="84"/>
      <c r="R1513" s="84"/>
      <c r="S1513" s="84"/>
      <c r="T1513" s="84"/>
      <c r="U1513" s="84"/>
      <c r="V1513" s="84"/>
      <c r="W1513" s="84"/>
      <c r="Y1513" s="84"/>
      <c r="Z1513" s="84"/>
      <c r="AA1513" s="84"/>
      <c r="AB1513" s="84"/>
      <c r="AC1513" s="84"/>
      <c r="AD1513" s="84"/>
      <c r="AE1513" s="84"/>
      <c r="AF1513" s="84"/>
      <c r="AG1513" s="84"/>
      <c r="AH1513" s="84"/>
      <c r="AI1513" s="84"/>
      <c r="AL1513" s="84"/>
      <c r="AM1513" s="84"/>
      <c r="AN1513" s="84"/>
      <c r="AO1513" s="84"/>
      <c r="AP1513" s="84"/>
      <c r="AQ1513" s="84"/>
      <c r="AR1513" s="84"/>
      <c r="AS1513" s="84"/>
      <c r="AT1513" s="84"/>
      <c r="AU1513" s="84"/>
      <c r="AV1513" s="84"/>
      <c r="AY1513" s="84"/>
      <c r="AZ1513" s="84"/>
      <c r="BA1513" s="84"/>
      <c r="BB1513" s="84"/>
      <c r="BC1513" s="84"/>
      <c r="BD1513" s="84"/>
      <c r="BE1513" s="84"/>
      <c r="BF1513" s="942"/>
      <c r="BG1513" s="942"/>
      <c r="BH1513" s="942"/>
      <c r="BI1513" s="84"/>
      <c r="BL1513" s="84"/>
      <c r="BM1513" s="84"/>
      <c r="BN1513" s="84"/>
      <c r="BO1513" s="84"/>
      <c r="BP1513" s="84"/>
      <c r="BQ1513" s="84"/>
      <c r="BR1513" s="84"/>
      <c r="BS1513" s="942"/>
      <c r="BT1513" s="942"/>
      <c r="BU1513" s="942"/>
      <c r="BV1513" s="84"/>
    </row>
    <row r="1514" spans="14:74" ht="14.25">
      <c r="N1514" s="84"/>
      <c r="O1514" s="84"/>
      <c r="P1514" s="84"/>
      <c r="Q1514" s="84"/>
      <c r="R1514" s="84"/>
      <c r="S1514" s="84"/>
      <c r="T1514" s="84"/>
      <c r="U1514" s="84"/>
      <c r="V1514" s="84"/>
      <c r="W1514" s="84"/>
      <c r="Y1514" s="84"/>
      <c r="Z1514" s="84"/>
      <c r="AA1514" s="84"/>
      <c r="AB1514" s="84"/>
      <c r="AC1514" s="84"/>
      <c r="AD1514" s="84"/>
      <c r="AE1514" s="84"/>
      <c r="AF1514" s="84"/>
      <c r="AG1514" s="84"/>
      <c r="AH1514" s="84"/>
      <c r="AI1514" s="84"/>
      <c r="AL1514" s="84"/>
      <c r="AM1514" s="84"/>
      <c r="AN1514" s="84"/>
      <c r="AO1514" s="84"/>
      <c r="AP1514" s="84"/>
      <c r="AQ1514" s="84"/>
      <c r="AR1514" s="84"/>
      <c r="AS1514" s="84"/>
      <c r="AT1514" s="84"/>
      <c r="AU1514" s="84"/>
      <c r="AV1514" s="84"/>
      <c r="AY1514" s="84"/>
      <c r="AZ1514" s="84"/>
      <c r="BA1514" s="84"/>
      <c r="BB1514" s="84"/>
      <c r="BC1514" s="84"/>
      <c r="BD1514" s="84"/>
      <c r="BE1514" s="84"/>
      <c r="BF1514" s="942"/>
      <c r="BG1514" s="942"/>
      <c r="BH1514" s="942"/>
      <c r="BI1514" s="84"/>
      <c r="BL1514" s="84"/>
      <c r="BM1514" s="84"/>
      <c r="BN1514" s="84"/>
      <c r="BO1514" s="84"/>
      <c r="BP1514" s="84"/>
      <c r="BQ1514" s="84"/>
      <c r="BR1514" s="84"/>
      <c r="BS1514" s="942"/>
      <c r="BT1514" s="942"/>
      <c r="BU1514" s="942"/>
      <c r="BV1514" s="84"/>
    </row>
    <row r="1515" spans="14:74" ht="14.25">
      <c r="N1515" s="84"/>
      <c r="O1515" s="84"/>
      <c r="P1515" s="84"/>
      <c r="Q1515" s="84"/>
      <c r="R1515" s="84"/>
      <c r="S1515" s="84"/>
      <c r="T1515" s="84"/>
      <c r="U1515" s="84"/>
      <c r="V1515" s="84"/>
      <c r="W1515" s="84"/>
      <c r="Y1515" s="84"/>
      <c r="Z1515" s="84"/>
      <c r="AA1515" s="84"/>
      <c r="AB1515" s="84"/>
      <c r="AC1515" s="84"/>
      <c r="AD1515" s="84"/>
      <c r="AE1515" s="84"/>
      <c r="AF1515" s="84"/>
      <c r="AG1515" s="84"/>
      <c r="AH1515" s="84"/>
      <c r="AI1515" s="84"/>
      <c r="AL1515" s="84"/>
      <c r="AM1515" s="84"/>
      <c r="AN1515" s="84"/>
      <c r="AO1515" s="84"/>
      <c r="AP1515" s="84"/>
      <c r="AQ1515" s="84"/>
      <c r="AR1515" s="84"/>
      <c r="AS1515" s="84"/>
      <c r="AT1515" s="84"/>
      <c r="AU1515" s="84"/>
      <c r="AV1515" s="84"/>
      <c r="AY1515" s="84"/>
      <c r="AZ1515" s="84"/>
      <c r="BA1515" s="84"/>
      <c r="BB1515" s="84"/>
      <c r="BC1515" s="84"/>
      <c r="BD1515" s="84"/>
      <c r="BE1515" s="84"/>
      <c r="BF1515" s="942"/>
      <c r="BG1515" s="942"/>
      <c r="BH1515" s="942"/>
      <c r="BI1515" s="84"/>
      <c r="BL1515" s="84"/>
      <c r="BM1515" s="84"/>
      <c r="BN1515" s="84"/>
      <c r="BO1515" s="84"/>
      <c r="BP1515" s="84"/>
      <c r="BQ1515" s="84"/>
      <c r="BR1515" s="84"/>
      <c r="BS1515" s="942"/>
      <c r="BT1515" s="942"/>
      <c r="BU1515" s="942"/>
      <c r="BV1515" s="84"/>
    </row>
    <row r="1516" spans="14:74" ht="14.25">
      <c r="N1516" s="84"/>
      <c r="O1516" s="84"/>
      <c r="P1516" s="84"/>
      <c r="Q1516" s="84"/>
      <c r="R1516" s="84"/>
      <c r="S1516" s="84"/>
      <c r="T1516" s="84"/>
      <c r="U1516" s="84"/>
      <c r="V1516" s="84"/>
      <c r="W1516" s="84"/>
      <c r="Y1516" s="84"/>
      <c r="Z1516" s="84"/>
      <c r="AA1516" s="84"/>
      <c r="AB1516" s="84"/>
      <c r="AC1516" s="84"/>
      <c r="AD1516" s="84"/>
      <c r="AE1516" s="84"/>
      <c r="AF1516" s="84"/>
      <c r="AG1516" s="84"/>
      <c r="AH1516" s="84"/>
      <c r="AI1516" s="84"/>
      <c r="AL1516" s="84"/>
      <c r="AM1516" s="84"/>
      <c r="AN1516" s="84"/>
      <c r="AO1516" s="84"/>
      <c r="AP1516" s="84"/>
      <c r="AQ1516" s="84"/>
      <c r="AR1516" s="84"/>
      <c r="AS1516" s="84"/>
      <c r="AT1516" s="84"/>
      <c r="AU1516" s="84"/>
      <c r="AV1516" s="84"/>
      <c r="AY1516" s="84"/>
      <c r="AZ1516" s="84"/>
      <c r="BA1516" s="84"/>
      <c r="BB1516" s="84"/>
      <c r="BC1516" s="84"/>
      <c r="BD1516" s="84"/>
      <c r="BE1516" s="84"/>
      <c r="BF1516" s="942"/>
      <c r="BG1516" s="942"/>
      <c r="BH1516" s="942"/>
      <c r="BI1516" s="84"/>
      <c r="BL1516" s="84"/>
      <c r="BM1516" s="84"/>
      <c r="BN1516" s="84"/>
      <c r="BO1516" s="84"/>
      <c r="BP1516" s="84"/>
      <c r="BQ1516" s="84"/>
      <c r="BR1516" s="84"/>
      <c r="BS1516" s="942"/>
      <c r="BT1516" s="942"/>
      <c r="BU1516" s="942"/>
      <c r="BV1516" s="84"/>
    </row>
    <row r="1517" spans="14:74" ht="14.25">
      <c r="N1517" s="84"/>
      <c r="O1517" s="84"/>
      <c r="P1517" s="84"/>
      <c r="Q1517" s="84"/>
      <c r="R1517" s="84"/>
      <c r="S1517" s="84"/>
      <c r="T1517" s="84"/>
      <c r="U1517" s="84"/>
      <c r="V1517" s="84"/>
      <c r="W1517" s="84"/>
      <c r="Y1517" s="84"/>
      <c r="Z1517" s="84"/>
      <c r="AA1517" s="84"/>
      <c r="AB1517" s="84"/>
      <c r="AC1517" s="84"/>
      <c r="AD1517" s="84"/>
      <c r="AE1517" s="84"/>
      <c r="AF1517" s="84"/>
      <c r="AG1517" s="84"/>
      <c r="AH1517" s="84"/>
      <c r="AI1517" s="84"/>
      <c r="AL1517" s="84"/>
      <c r="AM1517" s="84"/>
      <c r="AN1517" s="84"/>
      <c r="AO1517" s="84"/>
      <c r="AP1517" s="84"/>
      <c r="AQ1517" s="84"/>
      <c r="AR1517" s="84"/>
      <c r="AS1517" s="84"/>
      <c r="AT1517" s="84"/>
      <c r="AU1517" s="84"/>
      <c r="AV1517" s="84"/>
      <c r="AY1517" s="84"/>
      <c r="AZ1517" s="84"/>
      <c r="BA1517" s="84"/>
      <c r="BB1517" s="84"/>
      <c r="BC1517" s="84"/>
      <c r="BD1517" s="84"/>
      <c r="BE1517" s="84"/>
      <c r="BF1517" s="942"/>
      <c r="BG1517" s="942"/>
      <c r="BH1517" s="942"/>
      <c r="BI1517" s="84"/>
      <c r="BL1517" s="84"/>
      <c r="BM1517" s="84"/>
      <c r="BN1517" s="84"/>
      <c r="BO1517" s="84"/>
      <c r="BP1517" s="84"/>
      <c r="BQ1517" s="84"/>
      <c r="BR1517" s="84"/>
      <c r="BS1517" s="942"/>
      <c r="BT1517" s="942"/>
      <c r="BU1517" s="942"/>
      <c r="BV1517" s="84"/>
    </row>
    <row r="1518" spans="14:74" ht="14.25">
      <c r="N1518" s="84"/>
      <c r="O1518" s="84"/>
      <c r="P1518" s="84"/>
      <c r="Q1518" s="84"/>
      <c r="R1518" s="84"/>
      <c r="S1518" s="84"/>
      <c r="T1518" s="84"/>
      <c r="U1518" s="84"/>
      <c r="V1518" s="84"/>
      <c r="W1518" s="84"/>
      <c r="Y1518" s="84"/>
      <c r="Z1518" s="84"/>
      <c r="AA1518" s="84"/>
      <c r="AB1518" s="84"/>
      <c r="AC1518" s="84"/>
      <c r="AD1518" s="84"/>
      <c r="AE1518" s="84"/>
      <c r="AF1518" s="84"/>
      <c r="AG1518" s="84"/>
      <c r="AH1518" s="84"/>
      <c r="AI1518" s="84"/>
      <c r="AL1518" s="84"/>
      <c r="AM1518" s="84"/>
      <c r="AN1518" s="84"/>
      <c r="AO1518" s="84"/>
      <c r="AP1518" s="84"/>
      <c r="AQ1518" s="84"/>
      <c r="AR1518" s="84"/>
      <c r="AS1518" s="84"/>
      <c r="AT1518" s="84"/>
      <c r="AU1518" s="84"/>
      <c r="AV1518" s="84"/>
      <c r="AY1518" s="84"/>
      <c r="AZ1518" s="84"/>
      <c r="BA1518" s="84"/>
      <c r="BB1518" s="84"/>
      <c r="BC1518" s="84"/>
      <c r="BD1518" s="84"/>
      <c r="BE1518" s="84"/>
      <c r="BF1518" s="942"/>
      <c r="BG1518" s="942"/>
      <c r="BH1518" s="942"/>
      <c r="BI1518" s="84"/>
      <c r="BL1518" s="84"/>
      <c r="BM1518" s="84"/>
      <c r="BN1518" s="84"/>
      <c r="BO1518" s="84"/>
      <c r="BP1518" s="84"/>
      <c r="BQ1518" s="84"/>
      <c r="BR1518" s="84"/>
      <c r="BS1518" s="942"/>
      <c r="BT1518" s="942"/>
      <c r="BU1518" s="942"/>
      <c r="BV1518" s="84"/>
    </row>
    <row r="1519" spans="14:74" ht="14.25">
      <c r="N1519" s="84"/>
      <c r="O1519" s="84"/>
      <c r="P1519" s="84"/>
      <c r="Q1519" s="84"/>
      <c r="R1519" s="84"/>
      <c r="S1519" s="84"/>
      <c r="T1519" s="84"/>
      <c r="U1519" s="84"/>
      <c r="V1519" s="84"/>
      <c r="W1519" s="84"/>
      <c r="Y1519" s="84"/>
      <c r="Z1519" s="84"/>
      <c r="AA1519" s="84"/>
      <c r="AB1519" s="84"/>
      <c r="AC1519" s="84"/>
      <c r="AD1519" s="84"/>
      <c r="AE1519" s="84"/>
      <c r="AF1519" s="84"/>
      <c r="AG1519" s="84"/>
      <c r="AH1519" s="84"/>
      <c r="AI1519" s="84"/>
      <c r="AL1519" s="84"/>
      <c r="AM1519" s="84"/>
      <c r="AN1519" s="84"/>
      <c r="AO1519" s="84"/>
      <c r="AP1519" s="84"/>
      <c r="AQ1519" s="84"/>
      <c r="AR1519" s="84"/>
      <c r="AS1519" s="84"/>
      <c r="AT1519" s="84"/>
      <c r="AU1519" s="84"/>
      <c r="AV1519" s="84"/>
      <c r="AY1519" s="84"/>
      <c r="AZ1519" s="84"/>
      <c r="BA1519" s="84"/>
      <c r="BB1519" s="84"/>
      <c r="BC1519" s="84"/>
      <c r="BD1519" s="84"/>
      <c r="BE1519" s="84"/>
      <c r="BF1519" s="942"/>
      <c r="BG1519" s="942"/>
      <c r="BH1519" s="942"/>
      <c r="BI1519" s="84"/>
      <c r="BL1519" s="84"/>
      <c r="BM1519" s="84"/>
      <c r="BN1519" s="84"/>
      <c r="BO1519" s="84"/>
      <c r="BP1519" s="84"/>
      <c r="BQ1519" s="84"/>
      <c r="BR1519" s="84"/>
      <c r="BS1519" s="942"/>
      <c r="BT1519" s="942"/>
      <c r="BU1519" s="942"/>
      <c r="BV1519" s="84"/>
    </row>
    <row r="1520" spans="14:74" ht="14.25">
      <c r="N1520" s="84"/>
      <c r="O1520" s="84"/>
      <c r="P1520" s="84"/>
      <c r="Q1520" s="84"/>
      <c r="R1520" s="84"/>
      <c r="S1520" s="84"/>
      <c r="T1520" s="84"/>
      <c r="U1520" s="84"/>
      <c r="V1520" s="84"/>
      <c r="W1520" s="84"/>
      <c r="Y1520" s="84"/>
      <c r="Z1520" s="84"/>
      <c r="AA1520" s="84"/>
      <c r="AB1520" s="84"/>
      <c r="AC1520" s="84"/>
      <c r="AD1520" s="84"/>
      <c r="AE1520" s="84"/>
      <c r="AF1520" s="84"/>
      <c r="AG1520" s="84"/>
      <c r="AH1520" s="84"/>
      <c r="AI1520" s="84"/>
      <c r="AL1520" s="84"/>
      <c r="AM1520" s="84"/>
      <c r="AN1520" s="84"/>
      <c r="AO1520" s="84"/>
      <c r="AP1520" s="84"/>
      <c r="AQ1520" s="84"/>
      <c r="AR1520" s="84"/>
      <c r="AS1520" s="84"/>
      <c r="AT1520" s="84"/>
      <c r="AU1520" s="84"/>
      <c r="AV1520" s="84"/>
      <c r="AY1520" s="84"/>
      <c r="AZ1520" s="84"/>
      <c r="BA1520" s="84"/>
      <c r="BB1520" s="84"/>
      <c r="BC1520" s="84"/>
      <c r="BD1520" s="84"/>
      <c r="BE1520" s="84"/>
      <c r="BF1520" s="942"/>
      <c r="BG1520" s="942"/>
      <c r="BH1520" s="942"/>
      <c r="BI1520" s="84"/>
      <c r="BL1520" s="84"/>
      <c r="BM1520" s="84"/>
      <c r="BN1520" s="84"/>
      <c r="BO1520" s="84"/>
      <c r="BP1520" s="84"/>
      <c r="BQ1520" s="84"/>
      <c r="BR1520" s="84"/>
      <c r="BS1520" s="942"/>
      <c r="BT1520" s="942"/>
      <c r="BU1520" s="942"/>
      <c r="BV1520" s="84"/>
    </row>
    <row r="1521" spans="14:74" ht="14.25">
      <c r="N1521" s="84"/>
      <c r="O1521" s="84"/>
      <c r="P1521" s="84"/>
      <c r="Q1521" s="84"/>
      <c r="R1521" s="84"/>
      <c r="S1521" s="84"/>
      <c r="T1521" s="84"/>
      <c r="U1521" s="84"/>
      <c r="V1521" s="84"/>
      <c r="W1521" s="84"/>
      <c r="Y1521" s="84"/>
      <c r="Z1521" s="84"/>
      <c r="AA1521" s="84"/>
      <c r="AB1521" s="84"/>
      <c r="AC1521" s="84"/>
      <c r="AD1521" s="84"/>
      <c r="AE1521" s="84"/>
      <c r="AF1521" s="84"/>
      <c r="AG1521" s="84"/>
      <c r="AH1521" s="84"/>
      <c r="AI1521" s="84"/>
      <c r="AL1521" s="84"/>
      <c r="AM1521" s="84"/>
      <c r="AN1521" s="84"/>
      <c r="AO1521" s="84"/>
      <c r="AP1521" s="84"/>
      <c r="AQ1521" s="84"/>
      <c r="AR1521" s="84"/>
      <c r="AS1521" s="84"/>
      <c r="AT1521" s="84"/>
      <c r="AU1521" s="84"/>
      <c r="AV1521" s="84"/>
      <c r="AY1521" s="84"/>
      <c r="AZ1521" s="84"/>
      <c r="BA1521" s="84"/>
      <c r="BB1521" s="84"/>
      <c r="BC1521" s="84"/>
      <c r="BD1521" s="84"/>
      <c r="BE1521" s="84"/>
      <c r="BF1521" s="942"/>
      <c r="BG1521" s="942"/>
      <c r="BH1521" s="942"/>
      <c r="BI1521" s="84"/>
      <c r="BL1521" s="84"/>
      <c r="BM1521" s="84"/>
      <c r="BN1521" s="84"/>
      <c r="BO1521" s="84"/>
      <c r="BP1521" s="84"/>
      <c r="BQ1521" s="84"/>
      <c r="BR1521" s="84"/>
      <c r="BS1521" s="942"/>
      <c r="BT1521" s="942"/>
      <c r="BU1521" s="942"/>
      <c r="BV1521" s="84"/>
    </row>
    <row r="1522" spans="14:74" ht="14.25">
      <c r="N1522" s="84"/>
      <c r="O1522" s="84"/>
      <c r="P1522" s="84"/>
      <c r="Q1522" s="84"/>
      <c r="R1522" s="84"/>
      <c r="S1522" s="84"/>
      <c r="T1522" s="84"/>
      <c r="U1522" s="84"/>
      <c r="V1522" s="84"/>
      <c r="W1522" s="84"/>
      <c r="Y1522" s="84"/>
      <c r="Z1522" s="84"/>
      <c r="AA1522" s="84"/>
      <c r="AB1522" s="84"/>
      <c r="AC1522" s="84"/>
      <c r="AD1522" s="84"/>
      <c r="AE1522" s="84"/>
      <c r="AF1522" s="84"/>
      <c r="AG1522" s="84"/>
      <c r="AH1522" s="84"/>
      <c r="AI1522" s="84"/>
      <c r="AL1522" s="84"/>
      <c r="AM1522" s="84"/>
      <c r="AN1522" s="84"/>
      <c r="AO1522" s="84"/>
      <c r="AP1522" s="84"/>
      <c r="AQ1522" s="84"/>
      <c r="AR1522" s="84"/>
      <c r="AS1522" s="84"/>
      <c r="AT1522" s="84"/>
      <c r="AU1522" s="84"/>
      <c r="AV1522" s="84"/>
      <c r="AY1522" s="84"/>
      <c r="AZ1522" s="84"/>
      <c r="BA1522" s="84"/>
      <c r="BB1522" s="84"/>
      <c r="BC1522" s="84"/>
      <c r="BD1522" s="84"/>
      <c r="BE1522" s="84"/>
      <c r="BF1522" s="942"/>
      <c r="BG1522" s="942"/>
      <c r="BH1522" s="942"/>
      <c r="BI1522" s="84"/>
      <c r="BL1522" s="84"/>
      <c r="BM1522" s="84"/>
      <c r="BN1522" s="84"/>
      <c r="BO1522" s="84"/>
      <c r="BP1522" s="84"/>
      <c r="BQ1522" s="84"/>
      <c r="BR1522" s="84"/>
      <c r="BS1522" s="942"/>
      <c r="BT1522" s="942"/>
      <c r="BU1522" s="942"/>
      <c r="BV1522" s="84"/>
    </row>
    <row r="1523" spans="14:74" ht="14.25">
      <c r="N1523" s="84"/>
      <c r="O1523" s="84"/>
      <c r="P1523" s="84"/>
      <c r="Q1523" s="84"/>
      <c r="R1523" s="84"/>
      <c r="S1523" s="84"/>
      <c r="T1523" s="84"/>
      <c r="U1523" s="84"/>
      <c r="V1523" s="84"/>
      <c r="W1523" s="84"/>
      <c r="Y1523" s="84"/>
      <c r="Z1523" s="84"/>
      <c r="AA1523" s="84"/>
      <c r="AB1523" s="84"/>
      <c r="AC1523" s="84"/>
      <c r="AD1523" s="84"/>
      <c r="AE1523" s="84"/>
      <c r="AF1523" s="84"/>
      <c r="AG1523" s="84"/>
      <c r="AH1523" s="84"/>
      <c r="AI1523" s="84"/>
      <c r="AL1523" s="84"/>
      <c r="AM1523" s="84"/>
      <c r="AN1523" s="84"/>
      <c r="AO1523" s="84"/>
      <c r="AP1523" s="84"/>
      <c r="AQ1523" s="84"/>
      <c r="AR1523" s="84"/>
      <c r="AS1523" s="84"/>
      <c r="AT1523" s="84"/>
      <c r="AU1523" s="84"/>
      <c r="AV1523" s="84"/>
      <c r="AY1523" s="84"/>
      <c r="AZ1523" s="84"/>
      <c r="BA1523" s="84"/>
      <c r="BB1523" s="84"/>
      <c r="BC1523" s="84"/>
      <c r="BD1523" s="84"/>
      <c r="BE1523" s="84"/>
      <c r="BF1523" s="942"/>
      <c r="BG1523" s="942"/>
      <c r="BH1523" s="942"/>
      <c r="BI1523" s="84"/>
      <c r="BL1523" s="84"/>
      <c r="BM1523" s="84"/>
      <c r="BN1523" s="84"/>
      <c r="BO1523" s="84"/>
      <c r="BP1523" s="84"/>
      <c r="BQ1523" s="84"/>
      <c r="BR1523" s="84"/>
      <c r="BS1523" s="942"/>
      <c r="BT1523" s="942"/>
      <c r="BU1523" s="942"/>
      <c r="BV1523" s="84"/>
    </row>
    <row r="1524" spans="14:74" ht="14.25">
      <c r="N1524" s="84"/>
      <c r="O1524" s="84"/>
      <c r="P1524" s="84"/>
      <c r="Q1524" s="84"/>
      <c r="R1524" s="84"/>
      <c r="S1524" s="84"/>
      <c r="T1524" s="84"/>
      <c r="U1524" s="84"/>
      <c r="V1524" s="84"/>
      <c r="W1524" s="84"/>
      <c r="Y1524" s="84"/>
      <c r="Z1524" s="84"/>
      <c r="AA1524" s="84"/>
      <c r="AB1524" s="84"/>
      <c r="AC1524" s="84"/>
      <c r="AD1524" s="84"/>
      <c r="AE1524" s="84"/>
      <c r="AF1524" s="84"/>
      <c r="AG1524" s="84"/>
      <c r="AH1524" s="84"/>
      <c r="AI1524" s="84"/>
      <c r="AL1524" s="84"/>
      <c r="AM1524" s="84"/>
      <c r="AN1524" s="84"/>
      <c r="AO1524" s="84"/>
      <c r="AP1524" s="84"/>
      <c r="AQ1524" s="84"/>
      <c r="AR1524" s="84"/>
      <c r="AS1524" s="84"/>
      <c r="AT1524" s="84"/>
      <c r="AU1524" s="84"/>
      <c r="AV1524" s="84"/>
      <c r="AY1524" s="84"/>
      <c r="AZ1524" s="84"/>
      <c r="BA1524" s="84"/>
      <c r="BB1524" s="84"/>
      <c r="BC1524" s="84"/>
      <c r="BD1524" s="84"/>
      <c r="BE1524" s="84"/>
      <c r="BF1524" s="942"/>
      <c r="BG1524" s="942"/>
      <c r="BH1524" s="942"/>
      <c r="BI1524" s="84"/>
      <c r="BL1524" s="84"/>
      <c r="BM1524" s="84"/>
      <c r="BN1524" s="84"/>
      <c r="BO1524" s="84"/>
      <c r="BP1524" s="84"/>
      <c r="BQ1524" s="84"/>
      <c r="BR1524" s="84"/>
      <c r="BS1524" s="942"/>
      <c r="BT1524" s="942"/>
      <c r="BU1524" s="942"/>
      <c r="BV1524" s="84"/>
    </row>
    <row r="1525" spans="14:74" ht="14.25">
      <c r="N1525" s="84"/>
      <c r="O1525" s="84"/>
      <c r="P1525" s="84"/>
      <c r="Q1525" s="84"/>
      <c r="R1525" s="84"/>
      <c r="S1525" s="84"/>
      <c r="T1525" s="84"/>
      <c r="U1525" s="84"/>
      <c r="V1525" s="84"/>
      <c r="W1525" s="84"/>
      <c r="Y1525" s="84"/>
      <c r="Z1525" s="84"/>
      <c r="AA1525" s="84"/>
      <c r="AB1525" s="84"/>
      <c r="AC1525" s="84"/>
      <c r="AD1525" s="84"/>
      <c r="AE1525" s="84"/>
      <c r="AF1525" s="84"/>
      <c r="AG1525" s="84"/>
      <c r="AH1525" s="84"/>
      <c r="AI1525" s="84"/>
      <c r="AL1525" s="84"/>
      <c r="AM1525" s="84"/>
      <c r="AN1525" s="84"/>
      <c r="AO1525" s="84"/>
      <c r="AP1525" s="84"/>
      <c r="AQ1525" s="84"/>
      <c r="AR1525" s="84"/>
      <c r="AS1525" s="84"/>
      <c r="AT1525" s="84"/>
      <c r="AU1525" s="84"/>
      <c r="AV1525" s="84"/>
      <c r="AY1525" s="84"/>
      <c r="AZ1525" s="84"/>
      <c r="BA1525" s="84"/>
      <c r="BB1525" s="84"/>
      <c r="BC1525" s="84"/>
      <c r="BD1525" s="84"/>
      <c r="BE1525" s="84"/>
      <c r="BF1525" s="942"/>
      <c r="BG1525" s="942"/>
      <c r="BH1525" s="942"/>
      <c r="BI1525" s="84"/>
      <c r="BL1525" s="84"/>
      <c r="BM1525" s="84"/>
      <c r="BN1525" s="84"/>
      <c r="BO1525" s="84"/>
      <c r="BP1525" s="84"/>
      <c r="BQ1525" s="84"/>
      <c r="BR1525" s="84"/>
      <c r="BS1525" s="942"/>
      <c r="BT1525" s="942"/>
      <c r="BU1525" s="942"/>
      <c r="BV1525" s="84"/>
    </row>
    <row r="1526" spans="14:74" ht="14.25">
      <c r="N1526" s="84"/>
      <c r="O1526" s="84"/>
      <c r="P1526" s="84"/>
      <c r="Q1526" s="84"/>
      <c r="R1526" s="84"/>
      <c r="S1526" s="84"/>
      <c r="T1526" s="84"/>
      <c r="U1526" s="84"/>
      <c r="V1526" s="84"/>
      <c r="W1526" s="84"/>
      <c r="Y1526" s="84"/>
      <c r="Z1526" s="84"/>
      <c r="AA1526" s="84"/>
      <c r="AB1526" s="84"/>
      <c r="AC1526" s="84"/>
      <c r="AD1526" s="84"/>
      <c r="AE1526" s="84"/>
      <c r="AF1526" s="84"/>
      <c r="AG1526" s="84"/>
      <c r="AH1526" s="84"/>
      <c r="AI1526" s="84"/>
      <c r="AL1526" s="84"/>
      <c r="AM1526" s="84"/>
      <c r="AN1526" s="84"/>
      <c r="AO1526" s="84"/>
      <c r="AP1526" s="84"/>
      <c r="AQ1526" s="84"/>
      <c r="AR1526" s="84"/>
      <c r="AS1526" s="84"/>
      <c r="AT1526" s="84"/>
      <c r="AU1526" s="84"/>
      <c r="AV1526" s="84"/>
      <c r="AY1526" s="84"/>
      <c r="AZ1526" s="84"/>
      <c r="BA1526" s="84"/>
      <c r="BB1526" s="84"/>
      <c r="BC1526" s="84"/>
      <c r="BD1526" s="84"/>
      <c r="BE1526" s="84"/>
      <c r="BF1526" s="942"/>
      <c r="BG1526" s="942"/>
      <c r="BH1526" s="942"/>
      <c r="BI1526" s="84"/>
      <c r="BL1526" s="84"/>
      <c r="BM1526" s="84"/>
      <c r="BN1526" s="84"/>
      <c r="BO1526" s="84"/>
      <c r="BP1526" s="84"/>
      <c r="BQ1526" s="84"/>
      <c r="BR1526" s="84"/>
      <c r="BS1526" s="942"/>
      <c r="BT1526" s="942"/>
      <c r="BU1526" s="942"/>
      <c r="BV1526" s="84"/>
    </row>
    <row r="1527" spans="14:74" ht="14.25">
      <c r="N1527" s="84"/>
      <c r="O1527" s="84"/>
      <c r="P1527" s="84"/>
      <c r="Q1527" s="84"/>
      <c r="R1527" s="84"/>
      <c r="S1527" s="84"/>
      <c r="T1527" s="84"/>
      <c r="U1527" s="84"/>
      <c r="V1527" s="84"/>
      <c r="W1527" s="84"/>
      <c r="Y1527" s="84"/>
      <c r="Z1527" s="84"/>
      <c r="AA1527" s="84"/>
      <c r="AB1527" s="84"/>
      <c r="AC1527" s="84"/>
      <c r="AD1527" s="84"/>
      <c r="AE1527" s="84"/>
      <c r="AF1527" s="84"/>
      <c r="AG1527" s="84"/>
      <c r="AH1527" s="84"/>
      <c r="AI1527" s="84"/>
      <c r="AL1527" s="84"/>
      <c r="AM1527" s="84"/>
      <c r="AN1527" s="84"/>
      <c r="AO1527" s="84"/>
      <c r="AP1527" s="84"/>
      <c r="AQ1527" s="84"/>
      <c r="AR1527" s="84"/>
      <c r="AS1527" s="84"/>
      <c r="AT1527" s="84"/>
      <c r="AU1527" s="84"/>
      <c r="AV1527" s="84"/>
      <c r="AY1527" s="84"/>
      <c r="AZ1527" s="84"/>
      <c r="BA1527" s="84"/>
      <c r="BB1527" s="84"/>
      <c r="BC1527" s="84"/>
      <c r="BD1527" s="84"/>
      <c r="BE1527" s="84"/>
      <c r="BF1527" s="942"/>
      <c r="BG1527" s="942"/>
      <c r="BH1527" s="942"/>
      <c r="BI1527" s="84"/>
      <c r="BL1527" s="84"/>
      <c r="BM1527" s="84"/>
      <c r="BN1527" s="84"/>
      <c r="BO1527" s="84"/>
      <c r="BP1527" s="84"/>
      <c r="BQ1527" s="84"/>
      <c r="BR1527" s="84"/>
      <c r="BS1527" s="942"/>
      <c r="BT1527" s="942"/>
      <c r="BU1527" s="942"/>
      <c r="BV1527" s="84"/>
    </row>
    <row r="1528" spans="14:74" ht="14.25">
      <c r="N1528" s="84"/>
      <c r="O1528" s="84"/>
      <c r="P1528" s="84"/>
      <c r="Q1528" s="84"/>
      <c r="R1528" s="84"/>
      <c r="S1528" s="84"/>
      <c r="T1528" s="84"/>
      <c r="U1528" s="84"/>
      <c r="V1528" s="84"/>
      <c r="W1528" s="84"/>
      <c r="Y1528" s="84"/>
      <c r="Z1528" s="84"/>
      <c r="AA1528" s="84"/>
      <c r="AB1528" s="84"/>
      <c r="AC1528" s="84"/>
      <c r="AD1528" s="84"/>
      <c r="AE1528" s="84"/>
      <c r="AF1528" s="84"/>
      <c r="AG1528" s="84"/>
      <c r="AH1528" s="84"/>
      <c r="AI1528" s="84"/>
      <c r="AL1528" s="84"/>
      <c r="AM1528" s="84"/>
      <c r="AN1528" s="84"/>
      <c r="AO1528" s="84"/>
      <c r="AP1528" s="84"/>
      <c r="AQ1528" s="84"/>
      <c r="AR1528" s="84"/>
      <c r="AS1528" s="84"/>
      <c r="AT1528" s="84"/>
      <c r="AU1528" s="84"/>
      <c r="AV1528" s="84"/>
      <c r="AY1528" s="84"/>
      <c r="AZ1528" s="84"/>
      <c r="BA1528" s="84"/>
      <c r="BB1528" s="84"/>
      <c r="BC1528" s="84"/>
      <c r="BD1528" s="84"/>
      <c r="BE1528" s="84"/>
      <c r="BF1528" s="942"/>
      <c r="BG1528" s="942"/>
      <c r="BH1528" s="942"/>
      <c r="BI1528" s="84"/>
      <c r="BL1528" s="84"/>
      <c r="BM1528" s="84"/>
      <c r="BN1528" s="84"/>
      <c r="BO1528" s="84"/>
      <c r="BP1528" s="84"/>
      <c r="BQ1528" s="84"/>
      <c r="BR1528" s="84"/>
      <c r="BS1528" s="942"/>
      <c r="BT1528" s="942"/>
      <c r="BU1528" s="942"/>
      <c r="BV1528" s="84"/>
    </row>
    <row r="1529" spans="14:74" ht="14.25">
      <c r="N1529" s="84"/>
      <c r="O1529" s="84"/>
      <c r="P1529" s="84"/>
      <c r="Q1529" s="84"/>
      <c r="R1529" s="84"/>
      <c r="S1529" s="84"/>
      <c r="T1529" s="84"/>
      <c r="U1529" s="84"/>
      <c r="V1529" s="84"/>
      <c r="W1529" s="84"/>
      <c r="Y1529" s="84"/>
      <c r="Z1529" s="84"/>
      <c r="AA1529" s="84"/>
      <c r="AB1529" s="84"/>
      <c r="AC1529" s="84"/>
      <c r="AD1529" s="84"/>
      <c r="AE1529" s="84"/>
      <c r="AF1529" s="84"/>
      <c r="AG1529" s="84"/>
      <c r="AH1529" s="84"/>
      <c r="AI1529" s="84"/>
      <c r="AL1529" s="84"/>
      <c r="AM1529" s="84"/>
      <c r="AN1529" s="84"/>
      <c r="AO1529" s="84"/>
      <c r="AP1529" s="84"/>
      <c r="AQ1529" s="84"/>
      <c r="AR1529" s="84"/>
      <c r="AS1529" s="84"/>
      <c r="AT1529" s="84"/>
      <c r="AU1529" s="84"/>
      <c r="AV1529" s="84"/>
      <c r="AY1529" s="84"/>
      <c r="AZ1529" s="84"/>
      <c r="BA1529" s="84"/>
      <c r="BB1529" s="84"/>
      <c r="BC1529" s="84"/>
      <c r="BD1529" s="84"/>
      <c r="BE1529" s="84"/>
      <c r="BF1529" s="942"/>
      <c r="BG1529" s="942"/>
      <c r="BH1529" s="942"/>
      <c r="BI1529" s="84"/>
      <c r="BL1529" s="84"/>
      <c r="BM1529" s="84"/>
      <c r="BN1529" s="84"/>
      <c r="BO1529" s="84"/>
      <c r="BP1529" s="84"/>
      <c r="BQ1529" s="84"/>
      <c r="BR1529" s="84"/>
      <c r="BS1529" s="942"/>
      <c r="BT1529" s="942"/>
      <c r="BU1529" s="942"/>
      <c r="BV1529" s="84"/>
    </row>
    <row r="1530" spans="14:74" ht="14.25">
      <c r="N1530" s="84"/>
      <c r="O1530" s="84"/>
      <c r="P1530" s="84"/>
      <c r="Q1530" s="84"/>
      <c r="R1530" s="84"/>
      <c r="S1530" s="84"/>
      <c r="T1530" s="84"/>
      <c r="U1530" s="84"/>
      <c r="V1530" s="84"/>
      <c r="W1530" s="84"/>
      <c r="Y1530" s="84"/>
      <c r="Z1530" s="84"/>
      <c r="AA1530" s="84"/>
      <c r="AB1530" s="84"/>
      <c r="AC1530" s="84"/>
      <c r="AD1530" s="84"/>
      <c r="AE1530" s="84"/>
      <c r="AF1530" s="84"/>
      <c r="AG1530" s="84"/>
      <c r="AH1530" s="84"/>
      <c r="AI1530" s="84"/>
      <c r="AL1530" s="84"/>
      <c r="AM1530" s="84"/>
      <c r="AN1530" s="84"/>
      <c r="AO1530" s="84"/>
      <c r="AP1530" s="84"/>
      <c r="AQ1530" s="84"/>
      <c r="AR1530" s="84"/>
      <c r="AS1530" s="84"/>
      <c r="AT1530" s="84"/>
      <c r="AU1530" s="84"/>
      <c r="AV1530" s="84"/>
      <c r="AY1530" s="84"/>
      <c r="AZ1530" s="84"/>
      <c r="BA1530" s="84"/>
      <c r="BB1530" s="84"/>
      <c r="BC1530" s="84"/>
      <c r="BD1530" s="84"/>
      <c r="BE1530" s="84"/>
      <c r="BF1530" s="942"/>
      <c r="BG1530" s="942"/>
      <c r="BH1530" s="942"/>
      <c r="BI1530" s="84"/>
      <c r="BL1530" s="84"/>
      <c r="BM1530" s="84"/>
      <c r="BN1530" s="84"/>
      <c r="BO1530" s="84"/>
      <c r="BP1530" s="84"/>
      <c r="BQ1530" s="84"/>
      <c r="BR1530" s="84"/>
      <c r="BS1530" s="942"/>
      <c r="BT1530" s="942"/>
      <c r="BU1530" s="942"/>
      <c r="BV1530" s="84"/>
    </row>
    <row r="1531" spans="14:74" ht="14.25">
      <c r="N1531" s="84"/>
      <c r="O1531" s="84"/>
      <c r="P1531" s="84"/>
      <c r="Q1531" s="84"/>
      <c r="R1531" s="84"/>
      <c r="S1531" s="84"/>
      <c r="T1531" s="84"/>
      <c r="U1531" s="84"/>
      <c r="V1531" s="84"/>
      <c r="W1531" s="84"/>
      <c r="Y1531" s="84"/>
      <c r="Z1531" s="84"/>
      <c r="AA1531" s="84"/>
      <c r="AB1531" s="84"/>
      <c r="AC1531" s="84"/>
      <c r="AD1531" s="84"/>
      <c r="AE1531" s="84"/>
      <c r="AF1531" s="84"/>
      <c r="AG1531" s="84"/>
      <c r="AH1531" s="84"/>
      <c r="AI1531" s="84"/>
      <c r="AL1531" s="84"/>
      <c r="AM1531" s="84"/>
      <c r="AN1531" s="84"/>
      <c r="AO1531" s="84"/>
      <c r="AP1531" s="84"/>
      <c r="AQ1531" s="84"/>
      <c r="AR1531" s="84"/>
      <c r="AS1531" s="84"/>
      <c r="AT1531" s="84"/>
      <c r="AU1531" s="84"/>
      <c r="AV1531" s="84"/>
      <c r="AY1531" s="84"/>
      <c r="AZ1531" s="84"/>
      <c r="BA1531" s="84"/>
      <c r="BB1531" s="84"/>
      <c r="BC1531" s="84"/>
      <c r="BD1531" s="84"/>
      <c r="BE1531" s="84"/>
      <c r="BF1531" s="942"/>
      <c r="BG1531" s="942"/>
      <c r="BH1531" s="942"/>
      <c r="BI1531" s="84"/>
      <c r="BL1531" s="84"/>
      <c r="BM1531" s="84"/>
      <c r="BN1531" s="84"/>
      <c r="BO1531" s="84"/>
      <c r="BP1531" s="84"/>
      <c r="BQ1531" s="84"/>
      <c r="BR1531" s="84"/>
      <c r="BS1531" s="942"/>
      <c r="BT1531" s="942"/>
      <c r="BU1531" s="942"/>
      <c r="BV1531" s="84"/>
    </row>
    <row r="1532" spans="14:74" ht="14.25">
      <c r="N1532" s="84"/>
      <c r="O1532" s="84"/>
      <c r="P1532" s="84"/>
      <c r="Q1532" s="84"/>
      <c r="R1532" s="84"/>
      <c r="S1532" s="84"/>
      <c r="T1532" s="84"/>
      <c r="U1532" s="84"/>
      <c r="V1532" s="84"/>
      <c r="W1532" s="84"/>
      <c r="Y1532" s="84"/>
      <c r="Z1532" s="84"/>
      <c r="AA1532" s="84"/>
      <c r="AB1532" s="84"/>
      <c r="AC1532" s="84"/>
      <c r="AD1532" s="84"/>
      <c r="AE1532" s="84"/>
      <c r="AF1532" s="84"/>
      <c r="AG1532" s="84"/>
      <c r="AH1532" s="84"/>
      <c r="AI1532" s="84"/>
      <c r="AL1532" s="84"/>
      <c r="AM1532" s="84"/>
      <c r="AN1532" s="84"/>
      <c r="AO1532" s="84"/>
      <c r="AP1532" s="84"/>
      <c r="AQ1532" s="84"/>
      <c r="AR1532" s="84"/>
      <c r="AS1532" s="84"/>
      <c r="AT1532" s="84"/>
      <c r="AU1532" s="84"/>
      <c r="AV1532" s="84"/>
      <c r="AY1532" s="84"/>
      <c r="AZ1532" s="84"/>
      <c r="BA1532" s="84"/>
      <c r="BB1532" s="84"/>
      <c r="BC1532" s="84"/>
      <c r="BD1532" s="84"/>
      <c r="BE1532" s="84"/>
      <c r="BF1532" s="942"/>
      <c r="BG1532" s="942"/>
      <c r="BH1532" s="942"/>
      <c r="BI1532" s="84"/>
      <c r="BL1532" s="84"/>
      <c r="BM1532" s="84"/>
      <c r="BN1532" s="84"/>
      <c r="BO1532" s="84"/>
      <c r="BP1532" s="84"/>
      <c r="BQ1532" s="84"/>
      <c r="BR1532" s="84"/>
      <c r="BS1532" s="942"/>
      <c r="BT1532" s="942"/>
      <c r="BU1532" s="942"/>
      <c r="BV1532" s="84"/>
    </row>
    <row r="1533" spans="14:74" ht="14.25">
      <c r="N1533" s="84"/>
      <c r="O1533" s="84"/>
      <c r="P1533" s="84"/>
      <c r="Q1533" s="84"/>
      <c r="R1533" s="84"/>
      <c r="S1533" s="84"/>
      <c r="T1533" s="84"/>
      <c r="U1533" s="84"/>
      <c r="V1533" s="84"/>
      <c r="W1533" s="84"/>
      <c r="Y1533" s="84"/>
      <c r="Z1533" s="84"/>
      <c r="AA1533" s="84"/>
      <c r="AB1533" s="84"/>
      <c r="AC1533" s="84"/>
      <c r="AD1533" s="84"/>
      <c r="AE1533" s="84"/>
      <c r="AF1533" s="84"/>
      <c r="AG1533" s="84"/>
      <c r="AH1533" s="84"/>
      <c r="AI1533" s="84"/>
      <c r="AL1533" s="84"/>
      <c r="AM1533" s="84"/>
      <c r="AN1533" s="84"/>
      <c r="AO1533" s="84"/>
      <c r="AP1533" s="84"/>
      <c r="AQ1533" s="84"/>
      <c r="AR1533" s="84"/>
      <c r="AS1533" s="84"/>
      <c r="AT1533" s="84"/>
      <c r="AU1533" s="84"/>
      <c r="AV1533" s="84"/>
      <c r="AY1533" s="84"/>
      <c r="AZ1533" s="84"/>
      <c r="BA1533" s="84"/>
      <c r="BB1533" s="84"/>
      <c r="BC1533" s="84"/>
      <c r="BD1533" s="84"/>
      <c r="BE1533" s="84"/>
      <c r="BF1533" s="942"/>
      <c r="BG1533" s="942"/>
      <c r="BH1533" s="942"/>
      <c r="BI1533" s="84"/>
      <c r="BL1533" s="84"/>
      <c r="BM1533" s="84"/>
      <c r="BN1533" s="84"/>
      <c r="BO1533" s="84"/>
      <c r="BP1533" s="84"/>
      <c r="BQ1533" s="84"/>
      <c r="BR1533" s="84"/>
      <c r="BS1533" s="942"/>
      <c r="BT1533" s="942"/>
      <c r="BU1533" s="942"/>
      <c r="BV1533" s="84"/>
    </row>
    <row r="1534" spans="14:74" ht="14.25">
      <c r="N1534" s="84"/>
      <c r="O1534" s="84"/>
      <c r="P1534" s="84"/>
      <c r="Q1534" s="84"/>
      <c r="R1534" s="84"/>
      <c r="S1534" s="84"/>
      <c r="T1534" s="84"/>
      <c r="U1534" s="84"/>
      <c r="V1534" s="84"/>
      <c r="W1534" s="84"/>
      <c r="Y1534" s="84"/>
      <c r="Z1534" s="84"/>
      <c r="AA1534" s="84"/>
      <c r="AB1534" s="84"/>
      <c r="AC1534" s="84"/>
      <c r="AD1534" s="84"/>
      <c r="AE1534" s="84"/>
      <c r="AF1534" s="84"/>
      <c r="AG1534" s="84"/>
      <c r="AH1534" s="84"/>
      <c r="AI1534" s="84"/>
      <c r="AL1534" s="84"/>
      <c r="AM1534" s="84"/>
      <c r="AN1534" s="84"/>
      <c r="AO1534" s="84"/>
      <c r="AP1534" s="84"/>
      <c r="AQ1534" s="84"/>
      <c r="AR1534" s="84"/>
      <c r="AS1534" s="84"/>
      <c r="AT1534" s="84"/>
      <c r="AU1534" s="84"/>
      <c r="AV1534" s="84"/>
      <c r="AY1534" s="84"/>
      <c r="AZ1534" s="84"/>
      <c r="BA1534" s="84"/>
      <c r="BB1534" s="84"/>
      <c r="BC1534" s="84"/>
      <c r="BD1534" s="84"/>
      <c r="BE1534" s="84"/>
      <c r="BF1534" s="942"/>
      <c r="BG1534" s="942"/>
      <c r="BH1534" s="942"/>
      <c r="BI1534" s="84"/>
      <c r="BL1534" s="84"/>
      <c r="BM1534" s="84"/>
      <c r="BN1534" s="84"/>
      <c r="BO1534" s="84"/>
      <c r="BP1534" s="84"/>
      <c r="BQ1534" s="84"/>
      <c r="BR1534" s="84"/>
      <c r="BS1534" s="942"/>
      <c r="BT1534" s="942"/>
      <c r="BU1534" s="942"/>
      <c r="BV1534" s="84"/>
    </row>
    <row r="1535" spans="14:74" ht="14.25">
      <c r="N1535" s="84"/>
      <c r="O1535" s="84"/>
      <c r="P1535" s="84"/>
      <c r="Q1535" s="84"/>
      <c r="R1535" s="84"/>
      <c r="S1535" s="84"/>
      <c r="T1535" s="84"/>
      <c r="U1535" s="84"/>
      <c r="V1535" s="84"/>
      <c r="W1535" s="84"/>
      <c r="Y1535" s="84"/>
      <c r="Z1535" s="84"/>
      <c r="AA1535" s="84"/>
      <c r="AB1535" s="84"/>
      <c r="AC1535" s="84"/>
      <c r="AD1535" s="84"/>
      <c r="AE1535" s="84"/>
      <c r="AF1535" s="84"/>
      <c r="AG1535" s="84"/>
      <c r="AH1535" s="84"/>
      <c r="AI1535" s="84"/>
      <c r="AL1535" s="84"/>
      <c r="AM1535" s="84"/>
      <c r="AN1535" s="84"/>
      <c r="AO1535" s="84"/>
      <c r="AP1535" s="84"/>
      <c r="AQ1535" s="84"/>
      <c r="AR1535" s="84"/>
      <c r="AS1535" s="84"/>
      <c r="AT1535" s="84"/>
      <c r="AU1535" s="84"/>
      <c r="AV1535" s="84"/>
      <c r="AY1535" s="84"/>
      <c r="AZ1535" s="84"/>
      <c r="BA1535" s="84"/>
      <c r="BB1535" s="84"/>
      <c r="BC1535" s="84"/>
      <c r="BD1535" s="84"/>
      <c r="BE1535" s="84"/>
      <c r="BF1535" s="942"/>
      <c r="BG1535" s="942"/>
      <c r="BH1535" s="942"/>
      <c r="BI1535" s="84"/>
      <c r="BL1535" s="84"/>
      <c r="BM1535" s="84"/>
      <c r="BN1535" s="84"/>
      <c r="BO1535" s="84"/>
      <c r="BP1535" s="84"/>
      <c r="BQ1535" s="84"/>
      <c r="BR1535" s="84"/>
      <c r="BS1535" s="942"/>
      <c r="BT1535" s="942"/>
      <c r="BU1535" s="942"/>
      <c r="BV1535" s="84"/>
    </row>
    <row r="1536" spans="14:74" ht="14.25">
      <c r="N1536" s="84"/>
      <c r="O1536" s="84"/>
      <c r="P1536" s="84"/>
      <c r="Q1536" s="84"/>
      <c r="R1536" s="84"/>
      <c r="S1536" s="84"/>
      <c r="T1536" s="84"/>
      <c r="U1536" s="84"/>
      <c r="V1536" s="84"/>
      <c r="W1536" s="84"/>
      <c r="Y1536" s="84"/>
      <c r="Z1536" s="84"/>
      <c r="AA1536" s="84"/>
      <c r="AB1536" s="84"/>
      <c r="AC1536" s="84"/>
      <c r="AD1536" s="84"/>
      <c r="AE1536" s="84"/>
      <c r="AF1536" s="84"/>
      <c r="AG1536" s="84"/>
      <c r="AH1536" s="84"/>
      <c r="AI1536" s="84"/>
      <c r="AL1536" s="84"/>
      <c r="AM1536" s="84"/>
      <c r="AN1536" s="84"/>
      <c r="AO1536" s="84"/>
      <c r="AP1536" s="84"/>
      <c r="AQ1536" s="84"/>
      <c r="AR1536" s="84"/>
      <c r="AS1536" s="84"/>
      <c r="AT1536" s="84"/>
      <c r="AU1536" s="84"/>
      <c r="AV1536" s="84"/>
      <c r="AY1536" s="84"/>
      <c r="AZ1536" s="84"/>
      <c r="BA1536" s="84"/>
      <c r="BB1536" s="84"/>
      <c r="BC1536" s="84"/>
      <c r="BD1536" s="84"/>
      <c r="BE1536" s="84"/>
      <c r="BF1536" s="942"/>
      <c r="BG1536" s="942"/>
      <c r="BH1536" s="942"/>
      <c r="BI1536" s="84"/>
      <c r="BL1536" s="84"/>
      <c r="BM1536" s="84"/>
      <c r="BN1536" s="84"/>
      <c r="BO1536" s="84"/>
      <c r="BP1536" s="84"/>
      <c r="BQ1536" s="84"/>
      <c r="BR1536" s="84"/>
      <c r="BS1536" s="942"/>
      <c r="BT1536" s="942"/>
      <c r="BU1536" s="942"/>
      <c r="BV1536" s="84"/>
    </row>
    <row r="1537" spans="14:74" ht="14.25">
      <c r="N1537" s="84"/>
      <c r="O1537" s="84"/>
      <c r="P1537" s="84"/>
      <c r="Q1537" s="84"/>
      <c r="R1537" s="84"/>
      <c r="S1537" s="84"/>
      <c r="T1537" s="84"/>
      <c r="U1537" s="84"/>
      <c r="V1537" s="84"/>
      <c r="W1537" s="84"/>
      <c r="Y1537" s="84"/>
      <c r="Z1537" s="84"/>
      <c r="AA1537" s="84"/>
      <c r="AB1537" s="84"/>
      <c r="AC1537" s="84"/>
      <c r="AD1537" s="84"/>
      <c r="AE1537" s="84"/>
      <c r="AF1537" s="84"/>
      <c r="AG1537" s="84"/>
      <c r="AH1537" s="84"/>
      <c r="AI1537" s="84"/>
      <c r="AL1537" s="84"/>
      <c r="AM1537" s="84"/>
      <c r="AN1537" s="84"/>
      <c r="AO1537" s="84"/>
      <c r="AP1537" s="84"/>
      <c r="AQ1537" s="84"/>
      <c r="AR1537" s="84"/>
      <c r="AS1537" s="84"/>
      <c r="AT1537" s="84"/>
      <c r="AU1537" s="84"/>
      <c r="AV1537" s="84"/>
      <c r="AY1537" s="84"/>
      <c r="AZ1537" s="84"/>
      <c r="BA1537" s="84"/>
      <c r="BB1537" s="84"/>
      <c r="BC1537" s="84"/>
      <c r="BD1537" s="84"/>
      <c r="BE1537" s="84"/>
      <c r="BF1537" s="942"/>
      <c r="BG1537" s="942"/>
      <c r="BH1537" s="942"/>
      <c r="BI1537" s="84"/>
      <c r="BL1537" s="84"/>
      <c r="BM1537" s="84"/>
      <c r="BN1537" s="84"/>
      <c r="BO1537" s="84"/>
      <c r="BP1537" s="84"/>
      <c r="BQ1537" s="84"/>
      <c r="BR1537" s="84"/>
      <c r="BS1537" s="942"/>
      <c r="BT1537" s="942"/>
      <c r="BU1537" s="942"/>
      <c r="BV1537" s="84"/>
    </row>
    <row r="1538" spans="14:74" ht="14.25">
      <c r="N1538" s="84"/>
      <c r="O1538" s="84"/>
      <c r="P1538" s="84"/>
      <c r="Q1538" s="84"/>
      <c r="R1538" s="84"/>
      <c r="S1538" s="84"/>
      <c r="T1538" s="84"/>
      <c r="U1538" s="84"/>
      <c r="V1538" s="84"/>
      <c r="W1538" s="84"/>
      <c r="Y1538" s="84"/>
      <c r="Z1538" s="84"/>
      <c r="AA1538" s="84"/>
      <c r="AB1538" s="84"/>
      <c r="AC1538" s="84"/>
      <c r="AD1538" s="84"/>
      <c r="AE1538" s="84"/>
      <c r="AF1538" s="84"/>
      <c r="AG1538" s="84"/>
      <c r="AH1538" s="84"/>
      <c r="AI1538" s="84"/>
      <c r="AL1538" s="84"/>
      <c r="AM1538" s="84"/>
      <c r="AN1538" s="84"/>
      <c r="AO1538" s="84"/>
      <c r="AP1538" s="84"/>
      <c r="AQ1538" s="84"/>
      <c r="AR1538" s="84"/>
      <c r="AS1538" s="84"/>
      <c r="AT1538" s="84"/>
      <c r="AU1538" s="84"/>
      <c r="AV1538" s="84"/>
      <c r="AY1538" s="84"/>
      <c r="AZ1538" s="84"/>
      <c r="BA1538" s="84"/>
      <c r="BB1538" s="84"/>
      <c r="BC1538" s="84"/>
      <c r="BD1538" s="84"/>
      <c r="BE1538" s="84"/>
      <c r="BF1538" s="942"/>
      <c r="BG1538" s="942"/>
      <c r="BH1538" s="942"/>
      <c r="BI1538" s="84"/>
      <c r="BL1538" s="84"/>
      <c r="BM1538" s="84"/>
      <c r="BN1538" s="84"/>
      <c r="BO1538" s="84"/>
      <c r="BP1538" s="84"/>
      <c r="BQ1538" s="84"/>
      <c r="BR1538" s="84"/>
      <c r="BS1538" s="942"/>
      <c r="BT1538" s="942"/>
      <c r="BU1538" s="942"/>
      <c r="BV1538" s="84"/>
    </row>
    <row r="1539" spans="14:74" ht="14.25">
      <c r="N1539" s="84"/>
      <c r="O1539" s="84"/>
      <c r="P1539" s="84"/>
      <c r="Q1539" s="84"/>
      <c r="R1539" s="84"/>
      <c r="S1539" s="84"/>
      <c r="T1539" s="84"/>
      <c r="U1539" s="84"/>
      <c r="V1539" s="84"/>
      <c r="W1539" s="84"/>
      <c r="Y1539" s="84"/>
      <c r="Z1539" s="84"/>
      <c r="AA1539" s="84"/>
      <c r="AB1539" s="84"/>
      <c r="AC1539" s="84"/>
      <c r="AD1539" s="84"/>
      <c r="AE1539" s="84"/>
      <c r="AF1539" s="84"/>
      <c r="AG1539" s="84"/>
      <c r="AH1539" s="84"/>
      <c r="AI1539" s="84"/>
      <c r="AL1539" s="84"/>
      <c r="AM1539" s="84"/>
      <c r="AN1539" s="84"/>
      <c r="AO1539" s="84"/>
      <c r="AP1539" s="84"/>
      <c r="AQ1539" s="84"/>
      <c r="AR1539" s="84"/>
      <c r="AS1539" s="84"/>
      <c r="AT1539" s="84"/>
      <c r="AU1539" s="84"/>
      <c r="AV1539" s="84"/>
      <c r="AY1539" s="84"/>
      <c r="AZ1539" s="84"/>
      <c r="BA1539" s="84"/>
      <c r="BB1539" s="84"/>
      <c r="BC1539" s="84"/>
      <c r="BD1539" s="84"/>
      <c r="BE1539" s="84"/>
      <c r="BF1539" s="942"/>
      <c r="BG1539" s="942"/>
      <c r="BH1539" s="942"/>
      <c r="BI1539" s="84"/>
      <c r="BL1539" s="84"/>
      <c r="BM1539" s="84"/>
      <c r="BN1539" s="84"/>
      <c r="BO1539" s="84"/>
      <c r="BP1539" s="84"/>
      <c r="BQ1539" s="84"/>
      <c r="BR1539" s="84"/>
      <c r="BS1539" s="942"/>
      <c r="BT1539" s="942"/>
      <c r="BU1539" s="942"/>
      <c r="BV1539" s="84"/>
    </row>
    <row r="1540" spans="14:74" ht="14.25">
      <c r="N1540" s="84"/>
      <c r="O1540" s="84"/>
      <c r="P1540" s="84"/>
      <c r="Q1540" s="84"/>
      <c r="R1540" s="84"/>
      <c r="S1540" s="84"/>
      <c r="T1540" s="84"/>
      <c r="U1540" s="84"/>
      <c r="V1540" s="84"/>
      <c r="W1540" s="84"/>
      <c r="Y1540" s="84"/>
      <c r="Z1540" s="84"/>
      <c r="AA1540" s="84"/>
      <c r="AB1540" s="84"/>
      <c r="AC1540" s="84"/>
      <c r="AD1540" s="84"/>
      <c r="AE1540" s="84"/>
      <c r="AF1540" s="84"/>
      <c r="AG1540" s="84"/>
      <c r="AH1540" s="84"/>
      <c r="AI1540" s="84"/>
      <c r="AL1540" s="84"/>
      <c r="AM1540" s="84"/>
      <c r="AN1540" s="84"/>
      <c r="AO1540" s="84"/>
      <c r="AP1540" s="84"/>
      <c r="AQ1540" s="84"/>
      <c r="AR1540" s="84"/>
      <c r="AS1540" s="84"/>
      <c r="AT1540" s="84"/>
      <c r="AU1540" s="84"/>
      <c r="AV1540" s="84"/>
      <c r="AY1540" s="84"/>
      <c r="AZ1540" s="84"/>
      <c r="BA1540" s="84"/>
      <c r="BB1540" s="84"/>
      <c r="BC1540" s="84"/>
      <c r="BD1540" s="84"/>
      <c r="BE1540" s="84"/>
      <c r="BF1540" s="942"/>
      <c r="BG1540" s="942"/>
      <c r="BH1540" s="942"/>
      <c r="BI1540" s="84"/>
      <c r="BL1540" s="84"/>
      <c r="BM1540" s="84"/>
      <c r="BN1540" s="84"/>
      <c r="BO1540" s="84"/>
      <c r="BP1540" s="84"/>
      <c r="BQ1540" s="84"/>
      <c r="BR1540" s="84"/>
      <c r="BS1540" s="942"/>
      <c r="BT1540" s="942"/>
      <c r="BU1540" s="942"/>
      <c r="BV1540" s="84"/>
    </row>
    <row r="1541" spans="14:74" ht="14.25">
      <c r="N1541" s="84"/>
      <c r="O1541" s="84"/>
      <c r="P1541" s="84"/>
      <c r="Q1541" s="84"/>
      <c r="R1541" s="84"/>
      <c r="S1541" s="84"/>
      <c r="T1541" s="84"/>
      <c r="U1541" s="84"/>
      <c r="V1541" s="84"/>
      <c r="W1541" s="84"/>
      <c r="Y1541" s="84"/>
      <c r="Z1541" s="84"/>
      <c r="AA1541" s="84"/>
      <c r="AB1541" s="84"/>
      <c r="AC1541" s="84"/>
      <c r="AD1541" s="84"/>
      <c r="AE1541" s="84"/>
      <c r="AF1541" s="84"/>
      <c r="AG1541" s="84"/>
      <c r="AH1541" s="84"/>
      <c r="AI1541" s="84"/>
      <c r="AL1541" s="84"/>
      <c r="AM1541" s="84"/>
      <c r="AN1541" s="84"/>
      <c r="AO1541" s="84"/>
      <c r="AP1541" s="84"/>
      <c r="AQ1541" s="84"/>
      <c r="AR1541" s="84"/>
      <c r="AS1541" s="84"/>
      <c r="AT1541" s="84"/>
      <c r="AU1541" s="84"/>
      <c r="AV1541" s="84"/>
      <c r="AY1541" s="84"/>
      <c r="AZ1541" s="84"/>
      <c r="BA1541" s="84"/>
      <c r="BB1541" s="84"/>
      <c r="BC1541" s="84"/>
      <c r="BD1541" s="84"/>
      <c r="BE1541" s="84"/>
      <c r="BF1541" s="942"/>
      <c r="BG1541" s="942"/>
      <c r="BH1541" s="942"/>
      <c r="BI1541" s="84"/>
      <c r="BL1541" s="84"/>
      <c r="BM1541" s="84"/>
      <c r="BN1541" s="84"/>
      <c r="BO1541" s="84"/>
      <c r="BP1541" s="84"/>
      <c r="BQ1541" s="84"/>
      <c r="BR1541" s="84"/>
      <c r="BS1541" s="942"/>
      <c r="BT1541" s="942"/>
      <c r="BU1541" s="942"/>
      <c r="BV1541" s="84"/>
    </row>
    <row r="1542" spans="14:74" ht="14.25">
      <c r="N1542" s="84"/>
      <c r="O1542" s="84"/>
      <c r="P1542" s="84"/>
      <c r="Q1542" s="84"/>
      <c r="R1542" s="84"/>
      <c r="S1542" s="84"/>
      <c r="T1542" s="84"/>
      <c r="U1542" s="84"/>
      <c r="V1542" s="84"/>
      <c r="W1542" s="84"/>
      <c r="Y1542" s="84"/>
      <c r="Z1542" s="84"/>
      <c r="AA1542" s="84"/>
      <c r="AB1542" s="84"/>
      <c r="AC1542" s="84"/>
      <c r="AD1542" s="84"/>
      <c r="AE1542" s="84"/>
      <c r="AF1542" s="84"/>
      <c r="AG1542" s="84"/>
      <c r="AH1542" s="84"/>
      <c r="AI1542" s="84"/>
      <c r="AL1542" s="84"/>
      <c r="AM1542" s="84"/>
      <c r="AN1542" s="84"/>
      <c r="AO1542" s="84"/>
      <c r="AP1542" s="84"/>
      <c r="AQ1542" s="84"/>
      <c r="AR1542" s="84"/>
      <c r="AS1542" s="84"/>
      <c r="AT1542" s="84"/>
      <c r="AU1542" s="84"/>
      <c r="AV1542" s="84"/>
      <c r="AY1542" s="84"/>
      <c r="AZ1542" s="84"/>
      <c r="BA1542" s="84"/>
      <c r="BB1542" s="84"/>
      <c r="BC1542" s="84"/>
      <c r="BD1542" s="84"/>
      <c r="BE1542" s="84"/>
      <c r="BF1542" s="942"/>
      <c r="BG1542" s="942"/>
      <c r="BH1542" s="942"/>
      <c r="BI1542" s="84"/>
      <c r="BL1542" s="84"/>
      <c r="BM1542" s="84"/>
      <c r="BN1542" s="84"/>
      <c r="BO1542" s="84"/>
      <c r="BP1542" s="84"/>
      <c r="BQ1542" s="84"/>
      <c r="BR1542" s="84"/>
      <c r="BS1542" s="942"/>
      <c r="BT1542" s="942"/>
      <c r="BU1542" s="942"/>
      <c r="BV1542" s="84"/>
    </row>
    <row r="1543" spans="14:74" ht="14.25">
      <c r="N1543" s="84"/>
      <c r="O1543" s="84"/>
      <c r="P1543" s="84"/>
      <c r="Q1543" s="84"/>
      <c r="R1543" s="84"/>
      <c r="S1543" s="84"/>
      <c r="T1543" s="84"/>
      <c r="U1543" s="84"/>
      <c r="V1543" s="84"/>
      <c r="W1543" s="84"/>
      <c r="Y1543" s="84"/>
      <c r="Z1543" s="84"/>
      <c r="AA1543" s="84"/>
      <c r="AB1543" s="84"/>
      <c r="AC1543" s="84"/>
      <c r="AD1543" s="84"/>
      <c r="AE1543" s="84"/>
      <c r="AF1543" s="84"/>
      <c r="AG1543" s="84"/>
      <c r="AH1543" s="84"/>
      <c r="AI1543" s="84"/>
      <c r="AL1543" s="84"/>
      <c r="AM1543" s="84"/>
      <c r="AN1543" s="84"/>
      <c r="AO1543" s="84"/>
      <c r="AP1543" s="84"/>
      <c r="AQ1543" s="84"/>
      <c r="AR1543" s="84"/>
      <c r="AS1543" s="84"/>
      <c r="AT1543" s="84"/>
      <c r="AU1543" s="84"/>
      <c r="AV1543" s="84"/>
      <c r="AY1543" s="84"/>
      <c r="AZ1543" s="84"/>
      <c r="BA1543" s="84"/>
      <c r="BB1543" s="84"/>
      <c r="BC1543" s="84"/>
      <c r="BD1543" s="84"/>
      <c r="BE1543" s="84"/>
      <c r="BF1543" s="942"/>
      <c r="BG1543" s="942"/>
      <c r="BH1543" s="942"/>
      <c r="BI1543" s="84"/>
      <c r="BL1543" s="84"/>
      <c r="BM1543" s="84"/>
      <c r="BN1543" s="84"/>
      <c r="BO1543" s="84"/>
      <c r="BP1543" s="84"/>
      <c r="BQ1543" s="84"/>
      <c r="BR1543" s="84"/>
      <c r="BS1543" s="942"/>
      <c r="BT1543" s="942"/>
      <c r="BU1543" s="942"/>
      <c r="BV1543" s="84"/>
    </row>
    <row r="1544" spans="14:74" ht="14.25">
      <c r="N1544" s="84"/>
      <c r="O1544" s="84"/>
      <c r="P1544" s="84"/>
      <c r="Q1544" s="84"/>
      <c r="R1544" s="84"/>
      <c r="S1544" s="84"/>
      <c r="T1544" s="84"/>
      <c r="U1544" s="84"/>
      <c r="V1544" s="84"/>
      <c r="W1544" s="84"/>
      <c r="Y1544" s="84"/>
      <c r="Z1544" s="84"/>
      <c r="AA1544" s="84"/>
      <c r="AB1544" s="84"/>
      <c r="AC1544" s="84"/>
      <c r="AD1544" s="84"/>
      <c r="AE1544" s="84"/>
      <c r="AF1544" s="84"/>
      <c r="AG1544" s="84"/>
      <c r="AH1544" s="84"/>
      <c r="AI1544" s="84"/>
      <c r="AL1544" s="84"/>
      <c r="AM1544" s="84"/>
      <c r="AN1544" s="84"/>
      <c r="AO1544" s="84"/>
      <c r="AP1544" s="84"/>
      <c r="AQ1544" s="84"/>
      <c r="AR1544" s="84"/>
      <c r="AS1544" s="84"/>
      <c r="AT1544" s="84"/>
      <c r="AU1544" s="84"/>
      <c r="AV1544" s="84"/>
      <c r="AY1544" s="84"/>
      <c r="AZ1544" s="84"/>
      <c r="BA1544" s="84"/>
      <c r="BB1544" s="84"/>
      <c r="BC1544" s="84"/>
      <c r="BD1544" s="84"/>
      <c r="BE1544" s="84"/>
      <c r="BF1544" s="942"/>
      <c r="BG1544" s="942"/>
      <c r="BH1544" s="942"/>
      <c r="BI1544" s="84"/>
      <c r="BL1544" s="84"/>
      <c r="BM1544" s="84"/>
      <c r="BN1544" s="84"/>
      <c r="BO1544" s="84"/>
      <c r="BP1544" s="84"/>
      <c r="BQ1544" s="84"/>
      <c r="BR1544" s="84"/>
      <c r="BS1544" s="942"/>
      <c r="BT1544" s="942"/>
      <c r="BU1544" s="942"/>
      <c r="BV1544" s="84"/>
    </row>
    <row r="1545" spans="14:74" ht="14.25">
      <c r="N1545" s="84"/>
      <c r="O1545" s="84"/>
      <c r="P1545" s="84"/>
      <c r="Q1545" s="84"/>
      <c r="R1545" s="84"/>
      <c r="S1545" s="84"/>
      <c r="T1545" s="84"/>
      <c r="U1545" s="84"/>
      <c r="V1545" s="84"/>
      <c r="W1545" s="84"/>
      <c r="Y1545" s="84"/>
      <c r="Z1545" s="84"/>
      <c r="AA1545" s="84"/>
      <c r="AB1545" s="84"/>
      <c r="AC1545" s="84"/>
      <c r="AD1545" s="84"/>
      <c r="AE1545" s="84"/>
      <c r="AF1545" s="84"/>
      <c r="AG1545" s="84"/>
      <c r="AH1545" s="84"/>
      <c r="AI1545" s="84"/>
      <c r="AL1545" s="84"/>
      <c r="AM1545" s="84"/>
      <c r="AN1545" s="84"/>
      <c r="AO1545" s="84"/>
      <c r="AP1545" s="84"/>
      <c r="AQ1545" s="84"/>
      <c r="AR1545" s="84"/>
      <c r="AS1545" s="84"/>
      <c r="AT1545" s="84"/>
      <c r="AU1545" s="84"/>
      <c r="AV1545" s="84"/>
      <c r="AY1545" s="84"/>
      <c r="AZ1545" s="84"/>
      <c r="BA1545" s="84"/>
      <c r="BB1545" s="84"/>
      <c r="BC1545" s="84"/>
      <c r="BD1545" s="84"/>
      <c r="BE1545" s="84"/>
      <c r="BF1545" s="942"/>
      <c r="BG1545" s="942"/>
      <c r="BH1545" s="942"/>
      <c r="BI1545" s="84"/>
      <c r="BL1545" s="84"/>
      <c r="BM1545" s="84"/>
      <c r="BN1545" s="84"/>
      <c r="BO1545" s="84"/>
      <c r="BP1545" s="84"/>
      <c r="BQ1545" s="84"/>
      <c r="BR1545" s="84"/>
      <c r="BS1545" s="942"/>
      <c r="BT1545" s="942"/>
      <c r="BU1545" s="942"/>
      <c r="BV1545" s="84"/>
    </row>
    <row r="1546" spans="14:74" ht="14.25">
      <c r="N1546" s="84"/>
      <c r="O1546" s="84"/>
      <c r="P1546" s="84"/>
      <c r="Q1546" s="84"/>
      <c r="R1546" s="84"/>
      <c r="S1546" s="84"/>
      <c r="T1546" s="84"/>
      <c r="U1546" s="84"/>
      <c r="V1546" s="84"/>
      <c r="W1546" s="84"/>
      <c r="Y1546" s="84"/>
      <c r="Z1546" s="84"/>
      <c r="AA1546" s="84"/>
      <c r="AB1546" s="84"/>
      <c r="AC1546" s="84"/>
      <c r="AD1546" s="84"/>
      <c r="AE1546" s="84"/>
      <c r="AF1546" s="84"/>
      <c r="AG1546" s="84"/>
      <c r="AH1546" s="84"/>
      <c r="AI1546" s="84"/>
      <c r="AL1546" s="84"/>
      <c r="AM1546" s="84"/>
      <c r="AN1546" s="84"/>
      <c r="AO1546" s="84"/>
      <c r="AP1546" s="84"/>
      <c r="AQ1546" s="84"/>
      <c r="AR1546" s="84"/>
      <c r="AS1546" s="84"/>
      <c r="AT1546" s="84"/>
      <c r="AU1546" s="84"/>
      <c r="AV1546" s="84"/>
      <c r="AY1546" s="84"/>
      <c r="AZ1546" s="84"/>
      <c r="BA1546" s="84"/>
      <c r="BB1546" s="84"/>
      <c r="BC1546" s="84"/>
      <c r="BD1546" s="84"/>
      <c r="BE1546" s="84"/>
      <c r="BF1546" s="942"/>
      <c r="BG1546" s="942"/>
      <c r="BH1546" s="942"/>
      <c r="BI1546" s="84"/>
      <c r="BL1546" s="84"/>
      <c r="BM1546" s="84"/>
      <c r="BN1546" s="84"/>
      <c r="BO1546" s="84"/>
      <c r="BP1546" s="84"/>
      <c r="BQ1546" s="84"/>
      <c r="BR1546" s="84"/>
      <c r="BS1546" s="942"/>
      <c r="BT1546" s="942"/>
      <c r="BU1546" s="942"/>
      <c r="BV1546" s="84"/>
    </row>
    <row r="1547" spans="14:74" ht="14.25">
      <c r="N1547" s="84"/>
      <c r="O1547" s="84"/>
      <c r="P1547" s="84"/>
      <c r="Q1547" s="84"/>
      <c r="R1547" s="84"/>
      <c r="S1547" s="84"/>
      <c r="T1547" s="84"/>
      <c r="U1547" s="84"/>
      <c r="V1547" s="84"/>
      <c r="W1547" s="84"/>
      <c r="Y1547" s="84"/>
      <c r="Z1547" s="84"/>
      <c r="AA1547" s="84"/>
      <c r="AB1547" s="84"/>
      <c r="AC1547" s="84"/>
      <c r="AD1547" s="84"/>
      <c r="AE1547" s="84"/>
      <c r="AF1547" s="84"/>
      <c r="AG1547" s="84"/>
      <c r="AH1547" s="84"/>
      <c r="AI1547" s="84"/>
      <c r="AL1547" s="84"/>
      <c r="AM1547" s="84"/>
      <c r="AN1547" s="84"/>
      <c r="AO1547" s="84"/>
      <c r="AP1547" s="84"/>
      <c r="AQ1547" s="84"/>
      <c r="AR1547" s="84"/>
      <c r="AS1547" s="84"/>
      <c r="AT1547" s="84"/>
      <c r="AU1547" s="84"/>
      <c r="AV1547" s="84"/>
      <c r="AY1547" s="84"/>
      <c r="AZ1547" s="84"/>
      <c r="BA1547" s="84"/>
      <c r="BB1547" s="84"/>
      <c r="BC1547" s="84"/>
      <c r="BD1547" s="84"/>
      <c r="BE1547" s="84"/>
      <c r="BF1547" s="942"/>
      <c r="BG1547" s="942"/>
      <c r="BH1547" s="942"/>
      <c r="BI1547" s="84"/>
      <c r="BL1547" s="84"/>
      <c r="BM1547" s="84"/>
      <c r="BN1547" s="84"/>
      <c r="BO1547" s="84"/>
      <c r="BP1547" s="84"/>
      <c r="BQ1547" s="84"/>
      <c r="BR1547" s="84"/>
      <c r="BS1547" s="942"/>
      <c r="BT1547" s="942"/>
      <c r="BU1547" s="942"/>
      <c r="BV1547" s="84"/>
    </row>
    <row r="1548" spans="14:74" ht="14.25">
      <c r="N1548" s="84"/>
      <c r="O1548" s="84"/>
      <c r="P1548" s="84"/>
      <c r="Q1548" s="84"/>
      <c r="R1548" s="84"/>
      <c r="S1548" s="84"/>
      <c r="T1548" s="84"/>
      <c r="U1548" s="84"/>
      <c r="V1548" s="84"/>
      <c r="W1548" s="84"/>
      <c r="Y1548" s="84"/>
      <c r="Z1548" s="84"/>
      <c r="AA1548" s="84"/>
      <c r="AB1548" s="84"/>
      <c r="AC1548" s="84"/>
      <c r="AD1548" s="84"/>
      <c r="AE1548" s="84"/>
      <c r="AF1548" s="84"/>
      <c r="AG1548" s="84"/>
      <c r="AH1548" s="84"/>
      <c r="AI1548" s="84"/>
      <c r="AL1548" s="84"/>
      <c r="AM1548" s="84"/>
      <c r="AN1548" s="84"/>
      <c r="AO1548" s="84"/>
      <c r="AP1548" s="84"/>
      <c r="AQ1548" s="84"/>
      <c r="AR1548" s="84"/>
      <c r="AS1548" s="84"/>
      <c r="AT1548" s="84"/>
      <c r="AU1548" s="84"/>
      <c r="AV1548" s="84"/>
      <c r="AY1548" s="84"/>
      <c r="AZ1548" s="84"/>
      <c r="BA1548" s="84"/>
      <c r="BB1548" s="84"/>
      <c r="BC1548" s="84"/>
      <c r="BD1548" s="84"/>
      <c r="BE1548" s="84"/>
      <c r="BF1548" s="942"/>
      <c r="BG1548" s="942"/>
      <c r="BH1548" s="942"/>
      <c r="BI1548" s="84"/>
      <c r="BL1548" s="84"/>
      <c r="BM1548" s="84"/>
      <c r="BN1548" s="84"/>
      <c r="BO1548" s="84"/>
      <c r="BP1548" s="84"/>
      <c r="BQ1548" s="84"/>
      <c r="BR1548" s="84"/>
      <c r="BS1548" s="942"/>
      <c r="BT1548" s="942"/>
      <c r="BU1548" s="942"/>
      <c r="BV1548" s="84"/>
    </row>
    <row r="1549" spans="14:74" ht="14.25">
      <c r="N1549" s="84"/>
      <c r="O1549" s="84"/>
      <c r="P1549" s="84"/>
      <c r="Q1549" s="84"/>
      <c r="R1549" s="84"/>
      <c r="S1549" s="84"/>
      <c r="T1549" s="84"/>
      <c r="U1549" s="84"/>
      <c r="V1549" s="84"/>
      <c r="W1549" s="84"/>
      <c r="Y1549" s="84"/>
      <c r="Z1549" s="84"/>
      <c r="AA1549" s="84"/>
      <c r="AB1549" s="84"/>
      <c r="AC1549" s="84"/>
      <c r="AD1549" s="84"/>
      <c r="AE1549" s="84"/>
      <c r="AF1549" s="84"/>
      <c r="AG1549" s="84"/>
      <c r="AH1549" s="84"/>
      <c r="AI1549" s="84"/>
      <c r="AL1549" s="84"/>
      <c r="AM1549" s="84"/>
      <c r="AN1549" s="84"/>
      <c r="AO1549" s="84"/>
      <c r="AP1549" s="84"/>
      <c r="AQ1549" s="84"/>
      <c r="AR1549" s="84"/>
      <c r="AS1549" s="84"/>
      <c r="AT1549" s="84"/>
      <c r="AU1549" s="84"/>
      <c r="AV1549" s="84"/>
      <c r="AY1549" s="84"/>
      <c r="AZ1549" s="84"/>
      <c r="BA1549" s="84"/>
      <c r="BB1549" s="84"/>
      <c r="BC1549" s="84"/>
      <c r="BD1549" s="84"/>
      <c r="BE1549" s="84"/>
      <c r="BF1549" s="942"/>
      <c r="BG1549" s="942"/>
      <c r="BH1549" s="942"/>
      <c r="BI1549" s="84"/>
      <c r="BL1549" s="84"/>
      <c r="BM1549" s="84"/>
      <c r="BN1549" s="84"/>
      <c r="BO1549" s="84"/>
      <c r="BP1549" s="84"/>
      <c r="BQ1549" s="84"/>
      <c r="BR1549" s="84"/>
      <c r="BS1549" s="942"/>
      <c r="BT1549" s="942"/>
      <c r="BU1549" s="942"/>
      <c r="BV1549" s="84"/>
    </row>
    <row r="1550" spans="14:74" ht="14.25">
      <c r="N1550" s="84"/>
      <c r="O1550" s="84"/>
      <c r="P1550" s="84"/>
      <c r="Q1550" s="84"/>
      <c r="R1550" s="84"/>
      <c r="S1550" s="84"/>
      <c r="T1550" s="84"/>
      <c r="U1550" s="84"/>
      <c r="V1550" s="84"/>
      <c r="W1550" s="84"/>
      <c r="Y1550" s="84"/>
      <c r="Z1550" s="84"/>
      <c r="AA1550" s="84"/>
      <c r="AB1550" s="84"/>
      <c r="AC1550" s="84"/>
      <c r="AD1550" s="84"/>
      <c r="AE1550" s="84"/>
      <c r="AF1550" s="84"/>
      <c r="AG1550" s="84"/>
      <c r="AH1550" s="84"/>
      <c r="AI1550" s="84"/>
      <c r="AL1550" s="84"/>
      <c r="AM1550" s="84"/>
      <c r="AN1550" s="84"/>
      <c r="AO1550" s="84"/>
      <c r="AP1550" s="84"/>
      <c r="AQ1550" s="84"/>
      <c r="AR1550" s="84"/>
      <c r="AS1550" s="84"/>
      <c r="AT1550" s="84"/>
      <c r="AU1550" s="84"/>
      <c r="AV1550" s="84"/>
      <c r="AY1550" s="84"/>
      <c r="AZ1550" s="84"/>
      <c r="BA1550" s="84"/>
      <c r="BB1550" s="84"/>
      <c r="BC1550" s="84"/>
      <c r="BD1550" s="84"/>
      <c r="BE1550" s="84"/>
      <c r="BF1550" s="942"/>
      <c r="BG1550" s="942"/>
      <c r="BH1550" s="942"/>
      <c r="BI1550" s="84"/>
      <c r="BL1550" s="84"/>
      <c r="BM1550" s="84"/>
      <c r="BN1550" s="84"/>
      <c r="BO1550" s="84"/>
      <c r="BP1550" s="84"/>
      <c r="BQ1550" s="84"/>
      <c r="BR1550" s="84"/>
      <c r="BS1550" s="942"/>
      <c r="BT1550" s="942"/>
      <c r="BU1550" s="942"/>
      <c r="BV1550" s="84"/>
    </row>
    <row r="1551" spans="14:74" ht="14.25">
      <c r="N1551" s="84"/>
      <c r="O1551" s="84"/>
      <c r="P1551" s="84"/>
      <c r="Q1551" s="84"/>
      <c r="R1551" s="84"/>
      <c r="S1551" s="84"/>
      <c r="T1551" s="84"/>
      <c r="U1551" s="84"/>
      <c r="V1551" s="84"/>
      <c r="W1551" s="84"/>
      <c r="Y1551" s="84"/>
      <c r="Z1551" s="84"/>
      <c r="AA1551" s="84"/>
      <c r="AB1551" s="84"/>
      <c r="AC1551" s="84"/>
      <c r="AD1551" s="84"/>
      <c r="AE1551" s="84"/>
      <c r="AF1551" s="84"/>
      <c r="AG1551" s="84"/>
      <c r="AH1551" s="84"/>
      <c r="AI1551" s="84"/>
      <c r="AL1551" s="84"/>
      <c r="AM1551" s="84"/>
      <c r="AN1551" s="84"/>
      <c r="AO1551" s="84"/>
      <c r="AP1551" s="84"/>
      <c r="AQ1551" s="84"/>
      <c r="AR1551" s="84"/>
      <c r="AS1551" s="84"/>
      <c r="AT1551" s="84"/>
      <c r="AU1551" s="84"/>
      <c r="AV1551" s="84"/>
      <c r="AY1551" s="84"/>
      <c r="AZ1551" s="84"/>
      <c r="BA1551" s="84"/>
      <c r="BB1551" s="84"/>
      <c r="BC1551" s="84"/>
      <c r="BD1551" s="84"/>
      <c r="BE1551" s="84"/>
      <c r="BF1551" s="942"/>
      <c r="BG1551" s="942"/>
      <c r="BH1551" s="942"/>
      <c r="BI1551" s="84"/>
      <c r="BL1551" s="84"/>
      <c r="BM1551" s="84"/>
      <c r="BN1551" s="84"/>
      <c r="BO1551" s="84"/>
      <c r="BP1551" s="84"/>
      <c r="BQ1551" s="84"/>
      <c r="BR1551" s="84"/>
      <c r="BS1551" s="942"/>
      <c r="BT1551" s="942"/>
      <c r="BU1551" s="942"/>
      <c r="BV1551" s="84"/>
    </row>
    <row r="1552" spans="14:74" ht="14.25">
      <c r="N1552" s="84"/>
      <c r="O1552" s="84"/>
      <c r="P1552" s="84"/>
      <c r="Q1552" s="84"/>
      <c r="R1552" s="84"/>
      <c r="S1552" s="84"/>
      <c r="T1552" s="84"/>
      <c r="U1552" s="84"/>
      <c r="V1552" s="84"/>
      <c r="W1552" s="84"/>
      <c r="Y1552" s="84"/>
      <c r="Z1552" s="84"/>
      <c r="AA1552" s="84"/>
      <c r="AB1552" s="84"/>
      <c r="AC1552" s="84"/>
      <c r="AD1552" s="84"/>
      <c r="AE1552" s="84"/>
      <c r="AF1552" s="84"/>
      <c r="AG1552" s="84"/>
      <c r="AH1552" s="84"/>
      <c r="AI1552" s="84"/>
      <c r="AL1552" s="84"/>
      <c r="AM1552" s="84"/>
      <c r="AN1552" s="84"/>
      <c r="AO1552" s="84"/>
      <c r="AP1552" s="84"/>
      <c r="AQ1552" s="84"/>
      <c r="AR1552" s="84"/>
      <c r="AS1552" s="84"/>
      <c r="AT1552" s="84"/>
      <c r="AU1552" s="84"/>
      <c r="AV1552" s="84"/>
      <c r="AY1552" s="84"/>
      <c r="AZ1552" s="84"/>
      <c r="BA1552" s="84"/>
      <c r="BB1552" s="84"/>
      <c r="BC1552" s="84"/>
      <c r="BD1552" s="84"/>
      <c r="BE1552" s="84"/>
      <c r="BF1552" s="942"/>
      <c r="BG1552" s="942"/>
      <c r="BH1552" s="942"/>
      <c r="BI1552" s="84"/>
      <c r="BL1552" s="84"/>
      <c r="BM1552" s="84"/>
      <c r="BN1552" s="84"/>
      <c r="BO1552" s="84"/>
      <c r="BP1552" s="84"/>
      <c r="BQ1552" s="84"/>
      <c r="BR1552" s="84"/>
      <c r="BS1552" s="942"/>
      <c r="BT1552" s="942"/>
      <c r="BU1552" s="942"/>
      <c r="BV1552" s="84"/>
    </row>
    <row r="1553" spans="14:74" ht="14.25">
      <c r="N1553" s="84"/>
      <c r="O1553" s="84"/>
      <c r="P1553" s="84"/>
      <c r="Q1553" s="84"/>
      <c r="R1553" s="84"/>
      <c r="S1553" s="84"/>
      <c r="T1553" s="84"/>
      <c r="U1553" s="84"/>
      <c r="V1553" s="84"/>
      <c r="W1553" s="84"/>
      <c r="Y1553" s="84"/>
      <c r="Z1553" s="84"/>
      <c r="AA1553" s="84"/>
      <c r="AB1553" s="84"/>
      <c r="AC1553" s="84"/>
      <c r="AD1553" s="84"/>
      <c r="AE1553" s="84"/>
      <c r="AF1553" s="84"/>
      <c r="AG1553" s="84"/>
      <c r="AH1553" s="84"/>
      <c r="AI1553" s="84"/>
      <c r="AL1553" s="84"/>
      <c r="AM1553" s="84"/>
      <c r="AN1553" s="84"/>
      <c r="AO1553" s="84"/>
      <c r="AP1553" s="84"/>
      <c r="AQ1553" s="84"/>
      <c r="AR1553" s="84"/>
      <c r="AS1553" s="84"/>
      <c r="AT1553" s="84"/>
      <c r="AU1553" s="84"/>
      <c r="AV1553" s="84"/>
      <c r="AY1553" s="84"/>
      <c r="AZ1553" s="84"/>
      <c r="BA1553" s="84"/>
      <c r="BB1553" s="84"/>
      <c r="BC1553" s="84"/>
      <c r="BD1553" s="84"/>
      <c r="BE1553" s="84"/>
      <c r="BF1553" s="942"/>
      <c r="BG1553" s="942"/>
      <c r="BH1553" s="942"/>
      <c r="BI1553" s="84"/>
      <c r="BL1553" s="84"/>
      <c r="BM1553" s="84"/>
      <c r="BN1553" s="84"/>
      <c r="BO1553" s="84"/>
      <c r="BP1553" s="84"/>
      <c r="BQ1553" s="84"/>
      <c r="BR1553" s="84"/>
      <c r="BS1553" s="942"/>
      <c r="BT1553" s="942"/>
      <c r="BU1553" s="942"/>
      <c r="BV1553" s="84"/>
    </row>
    <row r="1554" spans="14:74" ht="14.25">
      <c r="N1554" s="84"/>
      <c r="O1554" s="84"/>
      <c r="P1554" s="84"/>
      <c r="Q1554" s="84"/>
      <c r="R1554" s="84"/>
      <c r="S1554" s="84"/>
      <c r="T1554" s="84"/>
      <c r="U1554" s="84"/>
      <c r="V1554" s="84"/>
      <c r="W1554" s="84"/>
      <c r="Y1554" s="84"/>
      <c r="Z1554" s="84"/>
      <c r="AA1554" s="84"/>
      <c r="AB1554" s="84"/>
      <c r="AC1554" s="84"/>
      <c r="AD1554" s="84"/>
      <c r="AE1554" s="84"/>
      <c r="AF1554" s="84"/>
      <c r="AG1554" s="84"/>
      <c r="AH1554" s="84"/>
      <c r="AI1554" s="84"/>
      <c r="AL1554" s="84"/>
      <c r="AM1554" s="84"/>
      <c r="AN1554" s="84"/>
      <c r="AO1554" s="84"/>
      <c r="AP1554" s="84"/>
      <c r="AQ1554" s="84"/>
      <c r="AR1554" s="84"/>
      <c r="AS1554" s="84"/>
      <c r="AT1554" s="84"/>
      <c r="AU1554" s="84"/>
      <c r="AV1554" s="84"/>
      <c r="AY1554" s="84"/>
      <c r="AZ1554" s="84"/>
      <c r="BA1554" s="84"/>
      <c r="BB1554" s="84"/>
      <c r="BC1554" s="84"/>
      <c r="BD1554" s="84"/>
      <c r="BE1554" s="84"/>
      <c r="BF1554" s="942"/>
      <c r="BG1554" s="942"/>
      <c r="BH1554" s="942"/>
      <c r="BI1554" s="84"/>
      <c r="BL1554" s="84"/>
      <c r="BM1554" s="84"/>
      <c r="BN1554" s="84"/>
      <c r="BO1554" s="84"/>
      <c r="BP1554" s="84"/>
      <c r="BQ1554" s="84"/>
      <c r="BR1554" s="84"/>
      <c r="BS1554" s="942"/>
      <c r="BT1554" s="942"/>
      <c r="BU1554" s="942"/>
      <c r="BV1554" s="84"/>
    </row>
    <row r="1555" spans="14:74" ht="14.25">
      <c r="N1555" s="84"/>
      <c r="O1555" s="84"/>
      <c r="P1555" s="84"/>
      <c r="Q1555" s="84"/>
      <c r="R1555" s="84"/>
      <c r="S1555" s="84"/>
      <c r="T1555" s="84"/>
      <c r="U1555" s="84"/>
      <c r="V1555" s="84"/>
      <c r="W1555" s="84"/>
      <c r="Y1555" s="84"/>
      <c r="Z1555" s="84"/>
      <c r="AA1555" s="84"/>
      <c r="AB1555" s="84"/>
      <c r="AC1555" s="84"/>
      <c r="AD1555" s="84"/>
      <c r="AE1555" s="84"/>
      <c r="AF1555" s="84"/>
      <c r="AG1555" s="84"/>
      <c r="AH1555" s="84"/>
      <c r="AI1555" s="84"/>
      <c r="AL1555" s="84"/>
      <c r="AM1555" s="84"/>
      <c r="AN1555" s="84"/>
      <c r="AO1555" s="84"/>
      <c r="AP1555" s="84"/>
      <c r="AQ1555" s="84"/>
      <c r="AR1555" s="84"/>
      <c r="AS1555" s="84"/>
      <c r="AT1555" s="84"/>
      <c r="AU1555" s="84"/>
      <c r="AV1555" s="84"/>
      <c r="AY1555" s="84"/>
      <c r="AZ1555" s="84"/>
      <c r="BA1555" s="84"/>
      <c r="BB1555" s="84"/>
      <c r="BC1555" s="84"/>
      <c r="BD1555" s="84"/>
      <c r="BE1555" s="84"/>
      <c r="BF1555" s="942"/>
      <c r="BG1555" s="942"/>
      <c r="BH1555" s="942"/>
      <c r="BI1555" s="84"/>
      <c r="BL1555" s="84"/>
      <c r="BM1555" s="84"/>
      <c r="BN1555" s="84"/>
      <c r="BO1555" s="84"/>
      <c r="BP1555" s="84"/>
      <c r="BQ1555" s="84"/>
      <c r="BR1555" s="84"/>
      <c r="BS1555" s="942"/>
      <c r="BT1555" s="942"/>
      <c r="BU1555" s="942"/>
      <c r="BV1555" s="84"/>
    </row>
    <row r="1556" spans="14:74" ht="14.25">
      <c r="N1556" s="84"/>
      <c r="O1556" s="84"/>
      <c r="P1556" s="84"/>
      <c r="Q1556" s="84"/>
      <c r="R1556" s="84"/>
      <c r="S1556" s="84"/>
      <c r="T1556" s="84"/>
      <c r="U1556" s="84"/>
      <c r="V1556" s="84"/>
      <c r="W1556" s="84"/>
      <c r="Y1556" s="84"/>
      <c r="Z1556" s="84"/>
      <c r="AA1556" s="84"/>
      <c r="AB1556" s="84"/>
      <c r="AC1556" s="84"/>
      <c r="AD1556" s="84"/>
      <c r="AE1556" s="84"/>
      <c r="AF1556" s="84"/>
      <c r="AG1556" s="84"/>
      <c r="AH1556" s="84"/>
      <c r="AI1556" s="84"/>
      <c r="AL1556" s="84"/>
      <c r="AM1556" s="84"/>
      <c r="AN1556" s="84"/>
      <c r="AO1556" s="84"/>
      <c r="AP1556" s="84"/>
      <c r="AQ1556" s="84"/>
      <c r="AR1556" s="84"/>
      <c r="AS1556" s="84"/>
      <c r="AT1556" s="84"/>
      <c r="AU1556" s="84"/>
      <c r="AV1556" s="84"/>
      <c r="AY1556" s="84"/>
      <c r="AZ1556" s="84"/>
      <c r="BA1556" s="84"/>
      <c r="BB1556" s="84"/>
      <c r="BC1556" s="84"/>
      <c r="BD1556" s="84"/>
      <c r="BE1556" s="84"/>
      <c r="BF1556" s="942"/>
      <c r="BG1556" s="942"/>
      <c r="BH1556" s="942"/>
      <c r="BI1556" s="84"/>
      <c r="BL1556" s="84"/>
      <c r="BM1556" s="84"/>
      <c r="BN1556" s="84"/>
      <c r="BO1556" s="84"/>
      <c r="BP1556" s="84"/>
      <c r="BQ1556" s="84"/>
      <c r="BR1556" s="84"/>
      <c r="BS1556" s="942"/>
      <c r="BT1556" s="942"/>
      <c r="BU1556" s="942"/>
      <c r="BV1556" s="84"/>
    </row>
    <row r="1557" spans="14:74" ht="14.25">
      <c r="N1557" s="84"/>
      <c r="O1557" s="84"/>
      <c r="P1557" s="84"/>
      <c r="Q1557" s="84"/>
      <c r="R1557" s="84"/>
      <c r="S1557" s="84"/>
      <c r="T1557" s="84"/>
      <c r="U1557" s="84"/>
      <c r="V1557" s="84"/>
      <c r="W1557" s="84"/>
      <c r="Y1557" s="84"/>
      <c r="Z1557" s="84"/>
      <c r="AA1557" s="84"/>
      <c r="AB1557" s="84"/>
      <c r="AC1557" s="84"/>
      <c r="AD1557" s="84"/>
      <c r="AE1557" s="84"/>
      <c r="AF1557" s="84"/>
      <c r="AG1557" s="84"/>
      <c r="AH1557" s="84"/>
      <c r="AI1557" s="84"/>
      <c r="AL1557" s="84"/>
      <c r="AM1557" s="84"/>
      <c r="AN1557" s="84"/>
      <c r="AO1557" s="84"/>
      <c r="AP1557" s="84"/>
      <c r="AQ1557" s="84"/>
      <c r="AR1557" s="84"/>
      <c r="AS1557" s="84"/>
      <c r="AT1557" s="84"/>
      <c r="AU1557" s="84"/>
      <c r="AV1557" s="84"/>
      <c r="AY1557" s="84"/>
      <c r="AZ1557" s="84"/>
      <c r="BA1557" s="84"/>
      <c r="BB1557" s="84"/>
      <c r="BC1557" s="84"/>
      <c r="BD1557" s="84"/>
      <c r="BE1557" s="84"/>
      <c r="BF1557" s="942"/>
      <c r="BG1557" s="942"/>
      <c r="BH1557" s="942"/>
      <c r="BI1557" s="84"/>
      <c r="BL1557" s="84"/>
      <c r="BM1557" s="84"/>
      <c r="BN1557" s="84"/>
      <c r="BO1557" s="84"/>
      <c r="BP1557" s="84"/>
      <c r="BQ1557" s="84"/>
      <c r="BR1557" s="84"/>
      <c r="BS1557" s="942"/>
      <c r="BT1557" s="942"/>
      <c r="BU1557" s="942"/>
      <c r="BV1557" s="84"/>
    </row>
    <row r="1558" spans="14:74" ht="14.25">
      <c r="N1558" s="84"/>
      <c r="O1558" s="84"/>
      <c r="P1558" s="84"/>
      <c r="Q1558" s="84"/>
      <c r="R1558" s="84"/>
      <c r="S1558" s="84"/>
      <c r="T1558" s="84"/>
      <c r="U1558" s="84"/>
      <c r="V1558" s="84"/>
      <c r="W1558" s="84"/>
      <c r="Y1558" s="84"/>
      <c r="Z1558" s="84"/>
      <c r="AA1558" s="84"/>
      <c r="AB1558" s="84"/>
      <c r="AC1558" s="84"/>
      <c r="AD1558" s="84"/>
      <c r="AE1558" s="84"/>
      <c r="AF1558" s="84"/>
      <c r="AG1558" s="84"/>
      <c r="AH1558" s="84"/>
      <c r="AI1558" s="84"/>
      <c r="AL1558" s="84"/>
      <c r="AM1558" s="84"/>
      <c r="AN1558" s="84"/>
      <c r="AO1558" s="84"/>
      <c r="AP1558" s="84"/>
      <c r="AQ1558" s="84"/>
      <c r="AR1558" s="84"/>
      <c r="AS1558" s="84"/>
      <c r="AT1558" s="84"/>
      <c r="AU1558" s="84"/>
      <c r="AV1558" s="84"/>
      <c r="AY1558" s="84"/>
      <c r="AZ1558" s="84"/>
      <c r="BA1558" s="84"/>
      <c r="BB1558" s="84"/>
      <c r="BC1558" s="84"/>
      <c r="BD1558" s="84"/>
      <c r="BE1558" s="84"/>
      <c r="BF1558" s="942"/>
      <c r="BG1558" s="942"/>
      <c r="BH1558" s="942"/>
      <c r="BI1558" s="84"/>
      <c r="BL1558" s="84"/>
      <c r="BM1558" s="84"/>
      <c r="BN1558" s="84"/>
      <c r="BO1558" s="84"/>
      <c r="BP1558" s="84"/>
      <c r="BQ1558" s="84"/>
      <c r="BR1558" s="84"/>
      <c r="BS1558" s="942"/>
      <c r="BT1558" s="942"/>
      <c r="BU1558" s="942"/>
      <c r="BV1558" s="84"/>
    </row>
    <row r="1559" spans="14:74" ht="14.25">
      <c r="N1559" s="84"/>
      <c r="O1559" s="84"/>
      <c r="P1559" s="84"/>
      <c r="Q1559" s="84"/>
      <c r="R1559" s="84"/>
      <c r="S1559" s="84"/>
      <c r="T1559" s="84"/>
      <c r="U1559" s="84"/>
      <c r="V1559" s="84"/>
      <c r="W1559" s="84"/>
      <c r="Y1559" s="84"/>
      <c r="Z1559" s="84"/>
      <c r="AA1559" s="84"/>
      <c r="AB1559" s="84"/>
      <c r="AC1559" s="84"/>
      <c r="AD1559" s="84"/>
      <c r="AE1559" s="84"/>
      <c r="AF1559" s="84"/>
      <c r="AG1559" s="84"/>
      <c r="AH1559" s="84"/>
      <c r="AI1559" s="84"/>
      <c r="AL1559" s="84"/>
      <c r="AM1559" s="84"/>
      <c r="AN1559" s="84"/>
      <c r="AO1559" s="84"/>
      <c r="AP1559" s="84"/>
      <c r="AQ1559" s="84"/>
      <c r="AR1559" s="84"/>
      <c r="AS1559" s="84"/>
      <c r="AT1559" s="84"/>
      <c r="AU1559" s="84"/>
      <c r="AV1559" s="84"/>
      <c r="AY1559" s="84"/>
      <c r="AZ1559" s="84"/>
      <c r="BA1559" s="84"/>
      <c r="BB1559" s="84"/>
      <c r="BC1559" s="84"/>
      <c r="BD1559" s="84"/>
      <c r="BE1559" s="84"/>
      <c r="BF1559" s="942"/>
      <c r="BG1559" s="942"/>
      <c r="BH1559" s="942"/>
      <c r="BI1559" s="84"/>
      <c r="BL1559" s="84"/>
      <c r="BM1559" s="84"/>
      <c r="BN1559" s="84"/>
      <c r="BO1559" s="84"/>
      <c r="BP1559" s="84"/>
      <c r="BQ1559" s="84"/>
      <c r="BR1559" s="84"/>
      <c r="BS1559" s="942"/>
      <c r="BT1559" s="942"/>
      <c r="BU1559" s="942"/>
      <c r="BV1559" s="84"/>
    </row>
    <row r="1560" spans="14:74" ht="14.25">
      <c r="N1560" s="84"/>
      <c r="O1560" s="84"/>
      <c r="P1560" s="84"/>
      <c r="Q1560" s="84"/>
      <c r="R1560" s="84"/>
      <c r="S1560" s="84"/>
      <c r="T1560" s="84"/>
      <c r="U1560" s="84"/>
      <c r="V1560" s="84"/>
      <c r="W1560" s="84"/>
      <c r="Y1560" s="84"/>
      <c r="Z1560" s="84"/>
      <c r="AA1560" s="84"/>
      <c r="AB1560" s="84"/>
      <c r="AC1560" s="84"/>
      <c r="AD1560" s="84"/>
      <c r="AE1560" s="84"/>
      <c r="AF1560" s="84"/>
      <c r="AG1560" s="84"/>
      <c r="AH1560" s="84"/>
      <c r="AI1560" s="84"/>
      <c r="AL1560" s="84"/>
      <c r="AM1560" s="84"/>
      <c r="AN1560" s="84"/>
      <c r="AO1560" s="84"/>
      <c r="AP1560" s="84"/>
      <c r="AQ1560" s="84"/>
      <c r="AR1560" s="84"/>
      <c r="AS1560" s="84"/>
      <c r="AT1560" s="84"/>
      <c r="AU1560" s="84"/>
      <c r="AV1560" s="84"/>
      <c r="AY1560" s="84"/>
      <c r="AZ1560" s="84"/>
      <c r="BA1560" s="84"/>
      <c r="BB1560" s="84"/>
      <c r="BC1560" s="84"/>
      <c r="BD1560" s="84"/>
      <c r="BE1560" s="84"/>
      <c r="BF1560" s="942"/>
      <c r="BG1560" s="942"/>
      <c r="BH1560" s="942"/>
      <c r="BI1560" s="84"/>
      <c r="BL1560" s="84"/>
      <c r="BM1560" s="84"/>
      <c r="BN1560" s="84"/>
      <c r="BO1560" s="84"/>
      <c r="BP1560" s="84"/>
      <c r="BQ1560" s="84"/>
      <c r="BR1560" s="84"/>
      <c r="BS1560" s="942"/>
      <c r="BT1560" s="942"/>
      <c r="BU1560" s="942"/>
      <c r="BV1560" s="84"/>
    </row>
    <row r="1561" spans="14:74" ht="14.25">
      <c r="N1561" s="84"/>
      <c r="O1561" s="84"/>
      <c r="P1561" s="84"/>
      <c r="Q1561" s="84"/>
      <c r="R1561" s="84"/>
      <c r="S1561" s="84"/>
      <c r="T1561" s="84"/>
      <c r="U1561" s="84"/>
      <c r="V1561" s="84"/>
      <c r="W1561" s="84"/>
      <c r="Y1561" s="84"/>
      <c r="Z1561" s="84"/>
      <c r="AA1561" s="84"/>
      <c r="AB1561" s="84"/>
      <c r="AC1561" s="84"/>
      <c r="AD1561" s="84"/>
      <c r="AE1561" s="84"/>
      <c r="AF1561" s="84"/>
      <c r="AG1561" s="84"/>
      <c r="AH1561" s="84"/>
      <c r="AI1561" s="84"/>
      <c r="AL1561" s="84"/>
      <c r="AM1561" s="84"/>
      <c r="AN1561" s="84"/>
      <c r="AO1561" s="84"/>
      <c r="AP1561" s="84"/>
      <c r="AQ1561" s="84"/>
      <c r="AR1561" s="84"/>
      <c r="AS1561" s="84"/>
      <c r="AT1561" s="84"/>
      <c r="AU1561" s="84"/>
      <c r="AV1561" s="84"/>
      <c r="AY1561" s="84"/>
      <c r="AZ1561" s="84"/>
      <c r="BA1561" s="84"/>
      <c r="BB1561" s="84"/>
      <c r="BC1561" s="84"/>
      <c r="BD1561" s="84"/>
      <c r="BE1561" s="84"/>
      <c r="BF1561" s="942"/>
      <c r="BG1561" s="942"/>
      <c r="BH1561" s="942"/>
      <c r="BI1561" s="84"/>
      <c r="BL1561" s="84"/>
      <c r="BM1561" s="84"/>
      <c r="BN1561" s="84"/>
      <c r="BO1561" s="84"/>
      <c r="BP1561" s="84"/>
      <c r="BQ1561" s="84"/>
      <c r="BR1561" s="84"/>
      <c r="BS1561" s="942"/>
      <c r="BT1561" s="942"/>
      <c r="BU1561" s="942"/>
      <c r="BV1561" s="84"/>
    </row>
    <row r="1562" spans="14:74" ht="14.25">
      <c r="N1562" s="84"/>
      <c r="O1562" s="84"/>
      <c r="P1562" s="84"/>
      <c r="Q1562" s="84"/>
      <c r="R1562" s="84"/>
      <c r="S1562" s="84"/>
      <c r="T1562" s="84"/>
      <c r="U1562" s="84"/>
      <c r="V1562" s="84"/>
      <c r="W1562" s="84"/>
      <c r="Y1562" s="84"/>
      <c r="Z1562" s="84"/>
      <c r="AA1562" s="84"/>
      <c r="AB1562" s="84"/>
      <c r="AC1562" s="84"/>
      <c r="AD1562" s="84"/>
      <c r="AE1562" s="84"/>
      <c r="AF1562" s="84"/>
      <c r="AG1562" s="84"/>
      <c r="AH1562" s="84"/>
      <c r="AI1562" s="84"/>
      <c r="AL1562" s="84"/>
      <c r="AM1562" s="84"/>
      <c r="AN1562" s="84"/>
      <c r="AO1562" s="84"/>
      <c r="AP1562" s="84"/>
      <c r="AQ1562" s="84"/>
      <c r="AR1562" s="84"/>
      <c r="AS1562" s="84"/>
      <c r="AT1562" s="84"/>
      <c r="AU1562" s="84"/>
      <c r="AV1562" s="84"/>
      <c r="AY1562" s="84"/>
      <c r="AZ1562" s="84"/>
      <c r="BA1562" s="84"/>
      <c r="BB1562" s="84"/>
      <c r="BC1562" s="84"/>
      <c r="BD1562" s="84"/>
      <c r="BE1562" s="84"/>
      <c r="BF1562" s="942"/>
      <c r="BG1562" s="942"/>
      <c r="BH1562" s="942"/>
      <c r="BI1562" s="84"/>
      <c r="BL1562" s="84"/>
      <c r="BM1562" s="84"/>
      <c r="BN1562" s="84"/>
      <c r="BO1562" s="84"/>
      <c r="BP1562" s="84"/>
      <c r="BQ1562" s="84"/>
      <c r="BR1562" s="84"/>
      <c r="BS1562" s="942"/>
      <c r="BT1562" s="942"/>
      <c r="BU1562" s="942"/>
      <c r="BV1562" s="84"/>
    </row>
    <row r="1563" spans="14:74" ht="14.25">
      <c r="N1563" s="84"/>
      <c r="O1563" s="84"/>
      <c r="P1563" s="84"/>
      <c r="Q1563" s="84"/>
      <c r="R1563" s="84"/>
      <c r="S1563" s="84"/>
      <c r="T1563" s="84"/>
      <c r="U1563" s="84"/>
      <c r="V1563" s="84"/>
      <c r="W1563" s="84"/>
      <c r="Y1563" s="84"/>
      <c r="Z1563" s="84"/>
      <c r="AA1563" s="84"/>
      <c r="AB1563" s="84"/>
      <c r="AC1563" s="84"/>
      <c r="AD1563" s="84"/>
      <c r="AE1563" s="84"/>
      <c r="AF1563" s="84"/>
      <c r="AG1563" s="84"/>
      <c r="AH1563" s="84"/>
      <c r="AI1563" s="84"/>
      <c r="AL1563" s="84"/>
      <c r="AM1563" s="84"/>
      <c r="AN1563" s="84"/>
      <c r="AO1563" s="84"/>
      <c r="AP1563" s="84"/>
      <c r="AQ1563" s="84"/>
      <c r="AR1563" s="84"/>
      <c r="AS1563" s="84"/>
      <c r="AT1563" s="84"/>
      <c r="AU1563" s="84"/>
      <c r="AV1563" s="84"/>
      <c r="AY1563" s="84"/>
      <c r="AZ1563" s="84"/>
      <c r="BA1563" s="84"/>
      <c r="BB1563" s="84"/>
      <c r="BC1563" s="84"/>
      <c r="BD1563" s="84"/>
      <c r="BE1563" s="84"/>
      <c r="BF1563" s="942"/>
      <c r="BG1563" s="942"/>
      <c r="BH1563" s="942"/>
      <c r="BI1563" s="84"/>
      <c r="BL1563" s="84"/>
      <c r="BM1563" s="84"/>
      <c r="BN1563" s="84"/>
      <c r="BO1563" s="84"/>
      <c r="BP1563" s="84"/>
      <c r="BQ1563" s="84"/>
      <c r="BR1563" s="84"/>
      <c r="BS1563" s="942"/>
      <c r="BT1563" s="942"/>
      <c r="BU1563" s="942"/>
      <c r="BV1563" s="84"/>
    </row>
    <row r="1564" spans="14:74" ht="14.25">
      <c r="N1564" s="84"/>
      <c r="O1564" s="84"/>
      <c r="P1564" s="84"/>
      <c r="Q1564" s="84"/>
      <c r="R1564" s="84"/>
      <c r="S1564" s="84"/>
      <c r="T1564" s="84"/>
      <c r="U1564" s="84"/>
      <c r="V1564" s="84"/>
      <c r="W1564" s="84"/>
      <c r="Y1564" s="84"/>
      <c r="Z1564" s="84"/>
      <c r="AA1564" s="84"/>
      <c r="AB1564" s="84"/>
      <c r="AC1564" s="84"/>
      <c r="AD1564" s="84"/>
      <c r="AE1564" s="84"/>
      <c r="AF1564" s="84"/>
      <c r="AG1564" s="84"/>
      <c r="AH1564" s="84"/>
      <c r="AI1564" s="84"/>
      <c r="AL1564" s="84"/>
      <c r="AM1564" s="84"/>
      <c r="AN1564" s="84"/>
      <c r="AO1564" s="84"/>
      <c r="AP1564" s="84"/>
      <c r="AQ1564" s="84"/>
      <c r="AR1564" s="84"/>
      <c r="AS1564" s="84"/>
      <c r="AT1564" s="84"/>
      <c r="AU1564" s="84"/>
      <c r="AV1564" s="84"/>
      <c r="AY1564" s="84"/>
      <c r="AZ1564" s="84"/>
      <c r="BA1564" s="84"/>
      <c r="BB1564" s="84"/>
      <c r="BC1564" s="84"/>
      <c r="BD1564" s="84"/>
      <c r="BE1564" s="84"/>
      <c r="BF1564" s="942"/>
      <c r="BG1564" s="942"/>
      <c r="BH1564" s="942"/>
      <c r="BI1564" s="84"/>
      <c r="BL1564" s="84"/>
      <c r="BM1564" s="84"/>
      <c r="BN1564" s="84"/>
      <c r="BO1564" s="84"/>
      <c r="BP1564" s="84"/>
      <c r="BQ1564" s="84"/>
      <c r="BR1564" s="84"/>
      <c r="BS1564" s="942"/>
      <c r="BT1564" s="942"/>
      <c r="BU1564" s="942"/>
      <c r="BV1564" s="84"/>
    </row>
    <row r="1565" spans="14:74" ht="14.25">
      <c r="N1565" s="84"/>
      <c r="O1565" s="84"/>
      <c r="P1565" s="84"/>
      <c r="Q1565" s="84"/>
      <c r="R1565" s="84"/>
      <c r="S1565" s="84"/>
      <c r="T1565" s="84"/>
      <c r="U1565" s="84"/>
      <c r="V1565" s="84"/>
      <c r="W1565" s="84"/>
      <c r="Y1565" s="84"/>
      <c r="Z1565" s="84"/>
      <c r="AA1565" s="84"/>
      <c r="AB1565" s="84"/>
      <c r="AC1565" s="84"/>
      <c r="AD1565" s="84"/>
      <c r="AE1565" s="84"/>
      <c r="AF1565" s="84"/>
      <c r="AG1565" s="84"/>
      <c r="AH1565" s="84"/>
      <c r="AI1565" s="84"/>
      <c r="AL1565" s="84"/>
      <c r="AM1565" s="84"/>
      <c r="AN1565" s="84"/>
      <c r="AO1565" s="84"/>
      <c r="AP1565" s="84"/>
      <c r="AQ1565" s="84"/>
      <c r="AR1565" s="84"/>
      <c r="AS1565" s="84"/>
      <c r="AT1565" s="84"/>
      <c r="AU1565" s="84"/>
      <c r="AV1565" s="84"/>
      <c r="AY1565" s="84"/>
      <c r="AZ1565" s="84"/>
      <c r="BA1565" s="84"/>
      <c r="BB1565" s="84"/>
      <c r="BC1565" s="84"/>
      <c r="BD1565" s="84"/>
      <c r="BE1565" s="84"/>
      <c r="BF1565" s="942"/>
      <c r="BG1565" s="942"/>
      <c r="BH1565" s="942"/>
      <c r="BI1565" s="84"/>
      <c r="BL1565" s="84"/>
      <c r="BM1565" s="84"/>
      <c r="BN1565" s="84"/>
      <c r="BO1565" s="84"/>
      <c r="BP1565" s="84"/>
      <c r="BQ1565" s="84"/>
      <c r="BR1565" s="84"/>
      <c r="BS1565" s="942"/>
      <c r="BT1565" s="942"/>
      <c r="BU1565" s="942"/>
      <c r="BV1565" s="84"/>
    </row>
    <row r="1566" spans="14:74" ht="14.25">
      <c r="N1566" s="84"/>
      <c r="O1566" s="84"/>
      <c r="P1566" s="84"/>
      <c r="Q1566" s="84"/>
      <c r="R1566" s="84"/>
      <c r="S1566" s="84"/>
      <c r="T1566" s="84"/>
      <c r="U1566" s="84"/>
      <c r="V1566" s="84"/>
      <c r="W1566" s="84"/>
      <c r="Y1566" s="84"/>
      <c r="Z1566" s="84"/>
      <c r="AA1566" s="84"/>
      <c r="AB1566" s="84"/>
      <c r="AC1566" s="84"/>
      <c r="AD1566" s="84"/>
      <c r="AE1566" s="84"/>
      <c r="AF1566" s="84"/>
      <c r="AG1566" s="84"/>
      <c r="AH1566" s="84"/>
      <c r="AI1566" s="84"/>
      <c r="AL1566" s="84"/>
      <c r="AM1566" s="84"/>
      <c r="AN1566" s="84"/>
      <c r="AO1566" s="84"/>
      <c r="AP1566" s="84"/>
      <c r="AQ1566" s="84"/>
      <c r="AR1566" s="84"/>
      <c r="AS1566" s="84"/>
      <c r="AT1566" s="84"/>
      <c r="AU1566" s="84"/>
      <c r="AV1566" s="84"/>
      <c r="AY1566" s="84"/>
      <c r="AZ1566" s="84"/>
      <c r="BA1566" s="84"/>
      <c r="BB1566" s="84"/>
      <c r="BC1566" s="84"/>
      <c r="BD1566" s="84"/>
      <c r="BE1566" s="84"/>
      <c r="BF1566" s="942"/>
      <c r="BG1566" s="942"/>
      <c r="BH1566" s="942"/>
      <c r="BI1566" s="84"/>
      <c r="BL1566" s="84"/>
      <c r="BM1566" s="84"/>
      <c r="BN1566" s="84"/>
      <c r="BO1566" s="84"/>
      <c r="BP1566" s="84"/>
      <c r="BQ1566" s="84"/>
      <c r="BR1566" s="84"/>
      <c r="BS1566" s="942"/>
      <c r="BT1566" s="942"/>
      <c r="BU1566" s="942"/>
      <c r="BV1566" s="84"/>
    </row>
    <row r="1567" spans="14:74" ht="14.25">
      <c r="N1567" s="84"/>
      <c r="O1567" s="84"/>
      <c r="P1567" s="84"/>
      <c r="Q1567" s="84"/>
      <c r="R1567" s="84"/>
      <c r="S1567" s="84"/>
      <c r="T1567" s="84"/>
      <c r="U1567" s="84"/>
      <c r="V1567" s="84"/>
      <c r="W1567" s="84"/>
      <c r="Y1567" s="84"/>
      <c r="Z1567" s="84"/>
      <c r="AA1567" s="84"/>
      <c r="AB1567" s="84"/>
      <c r="AC1567" s="84"/>
      <c r="AD1567" s="84"/>
      <c r="AE1567" s="84"/>
      <c r="AF1567" s="84"/>
      <c r="AG1567" s="84"/>
      <c r="AH1567" s="84"/>
      <c r="AI1567" s="84"/>
      <c r="AL1567" s="84"/>
      <c r="AM1567" s="84"/>
      <c r="AN1567" s="84"/>
      <c r="AO1567" s="84"/>
      <c r="AP1567" s="84"/>
      <c r="AQ1567" s="84"/>
      <c r="AR1567" s="84"/>
      <c r="AS1567" s="84"/>
      <c r="AT1567" s="84"/>
      <c r="AU1567" s="84"/>
      <c r="AV1567" s="84"/>
      <c r="AY1567" s="84"/>
      <c r="AZ1567" s="84"/>
      <c r="BA1567" s="84"/>
      <c r="BB1567" s="84"/>
      <c r="BC1567" s="84"/>
      <c r="BD1567" s="84"/>
      <c r="BE1567" s="84"/>
      <c r="BF1567" s="942"/>
      <c r="BG1567" s="942"/>
      <c r="BH1567" s="942"/>
      <c r="BI1567" s="84"/>
      <c r="BL1567" s="84"/>
      <c r="BM1567" s="84"/>
      <c r="BN1567" s="84"/>
      <c r="BO1567" s="84"/>
      <c r="BP1567" s="84"/>
      <c r="BQ1567" s="84"/>
      <c r="BR1567" s="84"/>
      <c r="BS1567" s="942"/>
      <c r="BT1567" s="942"/>
      <c r="BU1567" s="942"/>
      <c r="BV1567" s="84"/>
    </row>
    <row r="1568" spans="14:74" ht="14.25">
      <c r="N1568" s="84"/>
      <c r="O1568" s="84"/>
      <c r="P1568" s="84"/>
      <c r="Q1568" s="84"/>
      <c r="R1568" s="84"/>
      <c r="S1568" s="84"/>
      <c r="T1568" s="84"/>
      <c r="U1568" s="84"/>
      <c r="V1568" s="84"/>
      <c r="W1568" s="84"/>
      <c r="Y1568" s="84"/>
      <c r="Z1568" s="84"/>
      <c r="AA1568" s="84"/>
      <c r="AB1568" s="84"/>
      <c r="AC1568" s="84"/>
      <c r="AD1568" s="84"/>
      <c r="AE1568" s="84"/>
      <c r="AF1568" s="84"/>
      <c r="AG1568" s="84"/>
      <c r="AH1568" s="84"/>
      <c r="AI1568" s="84"/>
      <c r="AL1568" s="84"/>
      <c r="AM1568" s="84"/>
      <c r="AN1568" s="84"/>
      <c r="AO1568" s="84"/>
      <c r="AP1568" s="84"/>
      <c r="AQ1568" s="84"/>
      <c r="AR1568" s="84"/>
      <c r="AS1568" s="84"/>
      <c r="AT1568" s="84"/>
      <c r="AU1568" s="84"/>
      <c r="AV1568" s="84"/>
      <c r="AY1568" s="84"/>
      <c r="AZ1568" s="84"/>
      <c r="BA1568" s="84"/>
      <c r="BB1568" s="84"/>
      <c r="BC1568" s="84"/>
      <c r="BD1568" s="84"/>
      <c r="BE1568" s="84"/>
      <c r="BF1568" s="942"/>
      <c r="BG1568" s="942"/>
      <c r="BH1568" s="942"/>
      <c r="BI1568" s="84"/>
      <c r="BL1568" s="84"/>
      <c r="BM1568" s="84"/>
      <c r="BN1568" s="84"/>
      <c r="BO1568" s="84"/>
      <c r="BP1568" s="84"/>
      <c r="BQ1568" s="84"/>
      <c r="BR1568" s="84"/>
      <c r="BS1568" s="942"/>
      <c r="BT1568" s="942"/>
      <c r="BU1568" s="942"/>
      <c r="BV1568" s="84"/>
    </row>
    <row r="1569" spans="14:74" ht="14.25">
      <c r="N1569" s="84"/>
      <c r="O1569" s="84"/>
      <c r="P1569" s="84"/>
      <c r="Q1569" s="84"/>
      <c r="R1569" s="84"/>
      <c r="S1569" s="84"/>
      <c r="T1569" s="84"/>
      <c r="U1569" s="84"/>
      <c r="V1569" s="84"/>
      <c r="W1569" s="84"/>
      <c r="Y1569" s="84"/>
      <c r="Z1569" s="84"/>
      <c r="AA1569" s="84"/>
      <c r="AB1569" s="84"/>
      <c r="AC1569" s="84"/>
      <c r="AD1569" s="84"/>
      <c r="AE1569" s="84"/>
      <c r="AF1569" s="84"/>
      <c r="AG1569" s="84"/>
      <c r="AH1569" s="84"/>
      <c r="AI1569" s="84"/>
      <c r="AL1569" s="84"/>
      <c r="AM1569" s="84"/>
      <c r="AN1569" s="84"/>
      <c r="AO1569" s="84"/>
      <c r="AP1569" s="84"/>
      <c r="AQ1569" s="84"/>
      <c r="AR1569" s="84"/>
      <c r="AS1569" s="84"/>
      <c r="AT1569" s="84"/>
      <c r="AU1569" s="84"/>
      <c r="AV1569" s="84"/>
      <c r="AY1569" s="84"/>
      <c r="AZ1569" s="84"/>
      <c r="BA1569" s="84"/>
      <c r="BB1569" s="84"/>
      <c r="BC1569" s="84"/>
      <c r="BD1569" s="84"/>
      <c r="BE1569" s="84"/>
      <c r="BF1569" s="942"/>
      <c r="BG1569" s="942"/>
      <c r="BH1569" s="942"/>
      <c r="BI1569" s="84"/>
      <c r="BL1569" s="84"/>
      <c r="BM1569" s="84"/>
      <c r="BN1569" s="84"/>
      <c r="BO1569" s="84"/>
      <c r="BP1569" s="84"/>
      <c r="BQ1569" s="84"/>
      <c r="BR1569" s="84"/>
      <c r="BS1569" s="942"/>
      <c r="BT1569" s="942"/>
      <c r="BU1569" s="942"/>
      <c r="BV1569" s="84"/>
    </row>
    <row r="1570" spans="14:74" ht="14.25">
      <c r="N1570" s="84"/>
      <c r="O1570" s="84"/>
      <c r="P1570" s="84"/>
      <c r="Q1570" s="84"/>
      <c r="R1570" s="84"/>
      <c r="S1570" s="84"/>
      <c r="T1570" s="84"/>
      <c r="U1570" s="84"/>
      <c r="V1570" s="84"/>
      <c r="W1570" s="84"/>
      <c r="Y1570" s="84"/>
      <c r="Z1570" s="84"/>
      <c r="AA1570" s="84"/>
      <c r="AB1570" s="84"/>
      <c r="AC1570" s="84"/>
      <c r="AD1570" s="84"/>
      <c r="AE1570" s="84"/>
      <c r="AF1570" s="84"/>
      <c r="AG1570" s="84"/>
      <c r="AH1570" s="84"/>
      <c r="AI1570" s="84"/>
      <c r="AL1570" s="84"/>
      <c r="AM1570" s="84"/>
      <c r="AN1570" s="84"/>
      <c r="AO1570" s="84"/>
      <c r="AP1570" s="84"/>
      <c r="AQ1570" s="84"/>
      <c r="AR1570" s="84"/>
      <c r="AS1570" s="84"/>
      <c r="AT1570" s="84"/>
      <c r="AU1570" s="84"/>
      <c r="AV1570" s="84"/>
      <c r="AY1570" s="84"/>
      <c r="AZ1570" s="84"/>
      <c r="BA1570" s="84"/>
      <c r="BB1570" s="84"/>
      <c r="BC1570" s="84"/>
      <c r="BD1570" s="84"/>
      <c r="BE1570" s="84"/>
      <c r="BF1570" s="942"/>
      <c r="BG1570" s="942"/>
      <c r="BH1570" s="942"/>
      <c r="BI1570" s="84"/>
      <c r="BL1570" s="84"/>
      <c r="BM1570" s="84"/>
      <c r="BN1570" s="84"/>
      <c r="BO1570" s="84"/>
      <c r="BP1570" s="84"/>
      <c r="BQ1570" s="84"/>
      <c r="BR1570" s="84"/>
      <c r="BS1570" s="942"/>
      <c r="BT1570" s="942"/>
      <c r="BU1570" s="942"/>
      <c r="BV1570" s="84"/>
    </row>
    <row r="1571" spans="14:74" ht="14.25">
      <c r="N1571" s="84"/>
      <c r="O1571" s="84"/>
      <c r="P1571" s="84"/>
      <c r="Q1571" s="84"/>
      <c r="R1571" s="84"/>
      <c r="S1571" s="84"/>
      <c r="T1571" s="84"/>
      <c r="U1571" s="84"/>
      <c r="V1571" s="84"/>
      <c r="W1571" s="84"/>
      <c r="Y1571" s="84"/>
      <c r="Z1571" s="84"/>
      <c r="AA1571" s="84"/>
      <c r="AB1571" s="84"/>
      <c r="AC1571" s="84"/>
      <c r="AD1571" s="84"/>
      <c r="AE1571" s="84"/>
      <c r="AF1571" s="84"/>
      <c r="AG1571" s="84"/>
      <c r="AH1571" s="84"/>
      <c r="AI1571" s="84"/>
      <c r="AL1571" s="84"/>
      <c r="AM1571" s="84"/>
      <c r="AN1571" s="84"/>
      <c r="AO1571" s="84"/>
      <c r="AP1571" s="84"/>
      <c r="AQ1571" s="84"/>
      <c r="AR1571" s="84"/>
      <c r="AS1571" s="84"/>
      <c r="AT1571" s="84"/>
      <c r="AU1571" s="84"/>
      <c r="AV1571" s="84"/>
      <c r="AY1571" s="84"/>
      <c r="AZ1571" s="84"/>
      <c r="BA1571" s="84"/>
      <c r="BB1571" s="84"/>
      <c r="BC1571" s="84"/>
      <c r="BD1571" s="84"/>
      <c r="BE1571" s="84"/>
      <c r="BF1571" s="942"/>
      <c r="BG1571" s="942"/>
      <c r="BH1571" s="942"/>
      <c r="BI1571" s="84"/>
      <c r="BL1571" s="84"/>
      <c r="BM1571" s="84"/>
      <c r="BN1571" s="84"/>
      <c r="BO1571" s="84"/>
      <c r="BP1571" s="84"/>
      <c r="BQ1571" s="84"/>
      <c r="BR1571" s="84"/>
      <c r="BS1571" s="942"/>
      <c r="BT1571" s="942"/>
      <c r="BU1571" s="942"/>
      <c r="BV1571" s="84"/>
    </row>
    <row r="1572" spans="14:74" ht="14.25">
      <c r="N1572" s="84"/>
      <c r="O1572" s="84"/>
      <c r="P1572" s="84"/>
      <c r="Q1572" s="84"/>
      <c r="R1572" s="84"/>
      <c r="S1572" s="84"/>
      <c r="T1572" s="84"/>
      <c r="U1572" s="84"/>
      <c r="V1572" s="84"/>
      <c r="W1572" s="84"/>
      <c r="Y1572" s="84"/>
      <c r="Z1572" s="84"/>
      <c r="AA1572" s="84"/>
      <c r="AB1572" s="84"/>
      <c r="AC1572" s="84"/>
      <c r="AD1572" s="84"/>
      <c r="AE1572" s="84"/>
      <c r="AF1572" s="84"/>
      <c r="AG1572" s="84"/>
      <c r="AH1572" s="84"/>
      <c r="AI1572" s="84"/>
      <c r="AL1572" s="84"/>
      <c r="AM1572" s="84"/>
      <c r="AN1572" s="84"/>
      <c r="AO1572" s="84"/>
      <c r="AP1572" s="84"/>
      <c r="AQ1572" s="84"/>
      <c r="AR1572" s="84"/>
      <c r="AS1572" s="84"/>
      <c r="AT1572" s="84"/>
      <c r="AU1572" s="84"/>
      <c r="AV1572" s="84"/>
      <c r="AY1572" s="84"/>
      <c r="AZ1572" s="84"/>
      <c r="BA1572" s="84"/>
      <c r="BB1572" s="84"/>
      <c r="BC1572" s="84"/>
      <c r="BD1572" s="84"/>
      <c r="BE1572" s="84"/>
      <c r="BF1572" s="942"/>
      <c r="BG1572" s="942"/>
      <c r="BH1572" s="942"/>
      <c r="BI1572" s="84"/>
      <c r="BL1572" s="84"/>
      <c r="BM1572" s="84"/>
      <c r="BN1572" s="84"/>
      <c r="BO1572" s="84"/>
      <c r="BP1572" s="84"/>
      <c r="BQ1572" s="84"/>
      <c r="BR1572" s="84"/>
      <c r="BS1572" s="942"/>
      <c r="BT1572" s="942"/>
      <c r="BU1572" s="942"/>
      <c r="BV1572" s="84"/>
    </row>
    <row r="1573" spans="14:74" ht="14.25">
      <c r="N1573" s="84"/>
      <c r="O1573" s="84"/>
      <c r="P1573" s="84"/>
      <c r="Q1573" s="84"/>
      <c r="R1573" s="84"/>
      <c r="S1573" s="84"/>
      <c r="T1573" s="84"/>
      <c r="U1573" s="84"/>
      <c r="V1573" s="84"/>
      <c r="W1573" s="84"/>
      <c r="Y1573" s="84"/>
      <c r="Z1573" s="84"/>
      <c r="AA1573" s="84"/>
      <c r="AB1573" s="84"/>
      <c r="AC1573" s="84"/>
      <c r="AD1573" s="84"/>
      <c r="AE1573" s="84"/>
      <c r="AF1573" s="84"/>
      <c r="AG1573" s="84"/>
      <c r="AH1573" s="84"/>
      <c r="AI1573" s="84"/>
      <c r="AL1573" s="84"/>
      <c r="AM1573" s="84"/>
      <c r="AN1573" s="84"/>
      <c r="AO1573" s="84"/>
      <c r="AP1573" s="84"/>
      <c r="AQ1573" s="84"/>
      <c r="AR1573" s="84"/>
      <c r="AS1573" s="84"/>
      <c r="AT1573" s="84"/>
      <c r="AU1573" s="84"/>
      <c r="AV1573" s="84"/>
      <c r="AY1573" s="84"/>
      <c r="AZ1573" s="84"/>
      <c r="BA1573" s="84"/>
      <c r="BB1573" s="84"/>
      <c r="BC1573" s="84"/>
      <c r="BD1573" s="84"/>
      <c r="BE1573" s="84"/>
      <c r="BF1573" s="942"/>
      <c r="BG1573" s="942"/>
      <c r="BH1573" s="942"/>
      <c r="BI1573" s="84"/>
      <c r="BL1573" s="84"/>
      <c r="BM1573" s="84"/>
      <c r="BN1573" s="84"/>
      <c r="BO1573" s="84"/>
      <c r="BP1573" s="84"/>
      <c r="BQ1573" s="84"/>
      <c r="BR1573" s="84"/>
      <c r="BS1573" s="942"/>
      <c r="BT1573" s="942"/>
      <c r="BU1573" s="942"/>
      <c r="BV1573" s="84"/>
    </row>
    <row r="1574" spans="14:74" ht="14.25">
      <c r="N1574" s="84"/>
      <c r="O1574" s="84"/>
      <c r="P1574" s="84"/>
      <c r="Q1574" s="84"/>
      <c r="R1574" s="84"/>
      <c r="S1574" s="84"/>
      <c r="T1574" s="84"/>
      <c r="U1574" s="84"/>
      <c r="V1574" s="84"/>
      <c r="W1574" s="84"/>
      <c r="Y1574" s="84"/>
      <c r="Z1574" s="84"/>
      <c r="AA1574" s="84"/>
      <c r="AB1574" s="84"/>
      <c r="AC1574" s="84"/>
      <c r="AD1574" s="84"/>
      <c r="AE1574" s="84"/>
      <c r="AF1574" s="84"/>
      <c r="AG1574" s="84"/>
      <c r="AH1574" s="84"/>
      <c r="AI1574" s="84"/>
      <c r="AL1574" s="84"/>
      <c r="AM1574" s="84"/>
      <c r="AN1574" s="84"/>
      <c r="AO1574" s="84"/>
      <c r="AP1574" s="84"/>
      <c r="AQ1574" s="84"/>
      <c r="AR1574" s="84"/>
      <c r="AS1574" s="84"/>
      <c r="AT1574" s="84"/>
      <c r="AU1574" s="84"/>
      <c r="AV1574" s="84"/>
      <c r="AY1574" s="84"/>
      <c r="AZ1574" s="84"/>
      <c r="BA1574" s="84"/>
      <c r="BB1574" s="84"/>
      <c r="BC1574" s="84"/>
      <c r="BD1574" s="84"/>
      <c r="BE1574" s="84"/>
      <c r="BF1574" s="942"/>
      <c r="BG1574" s="942"/>
      <c r="BH1574" s="942"/>
      <c r="BI1574" s="84"/>
      <c r="BL1574" s="84"/>
      <c r="BM1574" s="84"/>
      <c r="BN1574" s="84"/>
      <c r="BO1574" s="84"/>
      <c r="BP1574" s="84"/>
      <c r="BQ1574" s="84"/>
      <c r="BR1574" s="84"/>
      <c r="BS1574" s="942"/>
      <c r="BT1574" s="942"/>
      <c r="BU1574" s="942"/>
      <c r="BV1574" s="84"/>
    </row>
    <row r="1575" spans="14:74" ht="14.25">
      <c r="N1575" s="84"/>
      <c r="O1575" s="84"/>
      <c r="P1575" s="84"/>
      <c r="Q1575" s="84"/>
      <c r="R1575" s="84"/>
      <c r="S1575" s="84"/>
      <c r="T1575" s="84"/>
      <c r="U1575" s="84"/>
      <c r="V1575" s="84"/>
      <c r="W1575" s="84"/>
      <c r="Y1575" s="84"/>
      <c r="Z1575" s="84"/>
      <c r="AA1575" s="84"/>
      <c r="AB1575" s="84"/>
      <c r="AC1575" s="84"/>
      <c r="AD1575" s="84"/>
      <c r="AE1575" s="84"/>
      <c r="AF1575" s="84"/>
      <c r="AG1575" s="84"/>
      <c r="AH1575" s="84"/>
      <c r="AI1575" s="84"/>
      <c r="AL1575" s="84"/>
      <c r="AM1575" s="84"/>
      <c r="AN1575" s="84"/>
      <c r="AO1575" s="84"/>
      <c r="AP1575" s="84"/>
      <c r="AQ1575" s="84"/>
      <c r="AR1575" s="84"/>
      <c r="AS1575" s="84"/>
      <c r="AT1575" s="84"/>
      <c r="AU1575" s="84"/>
      <c r="AV1575" s="84"/>
      <c r="AY1575" s="84"/>
      <c r="AZ1575" s="84"/>
      <c r="BA1575" s="84"/>
      <c r="BB1575" s="84"/>
      <c r="BC1575" s="84"/>
      <c r="BD1575" s="84"/>
      <c r="BE1575" s="84"/>
      <c r="BF1575" s="942"/>
      <c r="BG1575" s="942"/>
      <c r="BH1575" s="942"/>
      <c r="BI1575" s="84"/>
      <c r="BL1575" s="84"/>
      <c r="BM1575" s="84"/>
      <c r="BN1575" s="84"/>
      <c r="BO1575" s="84"/>
      <c r="BP1575" s="84"/>
      <c r="BQ1575" s="84"/>
      <c r="BR1575" s="84"/>
      <c r="BS1575" s="942"/>
      <c r="BT1575" s="942"/>
      <c r="BU1575" s="942"/>
      <c r="BV1575" s="84"/>
    </row>
    <row r="1576" spans="14:74" ht="14.25">
      <c r="N1576" s="84"/>
      <c r="O1576" s="84"/>
      <c r="P1576" s="84"/>
      <c r="Q1576" s="84"/>
      <c r="R1576" s="84"/>
      <c r="S1576" s="84"/>
      <c r="T1576" s="84"/>
      <c r="U1576" s="84"/>
      <c r="V1576" s="84"/>
      <c r="W1576" s="84"/>
      <c r="Y1576" s="84"/>
      <c r="Z1576" s="84"/>
      <c r="AA1576" s="84"/>
      <c r="AB1576" s="84"/>
      <c r="AC1576" s="84"/>
      <c r="AD1576" s="84"/>
      <c r="AE1576" s="84"/>
      <c r="AF1576" s="84"/>
      <c r="AG1576" s="84"/>
      <c r="AH1576" s="84"/>
      <c r="AI1576" s="84"/>
      <c r="AL1576" s="84"/>
      <c r="AM1576" s="84"/>
      <c r="AN1576" s="84"/>
      <c r="AO1576" s="84"/>
      <c r="AP1576" s="84"/>
      <c r="AQ1576" s="84"/>
      <c r="AR1576" s="84"/>
      <c r="AS1576" s="84"/>
      <c r="AT1576" s="84"/>
      <c r="AU1576" s="84"/>
      <c r="AV1576" s="84"/>
      <c r="AY1576" s="84"/>
      <c r="AZ1576" s="84"/>
      <c r="BA1576" s="84"/>
      <c r="BB1576" s="84"/>
      <c r="BC1576" s="84"/>
      <c r="BD1576" s="84"/>
      <c r="BE1576" s="84"/>
      <c r="BF1576" s="942"/>
      <c r="BG1576" s="942"/>
      <c r="BH1576" s="942"/>
      <c r="BI1576" s="84"/>
      <c r="BL1576" s="84"/>
      <c r="BM1576" s="84"/>
      <c r="BN1576" s="84"/>
      <c r="BO1576" s="84"/>
      <c r="BP1576" s="84"/>
      <c r="BQ1576" s="84"/>
      <c r="BR1576" s="84"/>
      <c r="BS1576" s="942"/>
      <c r="BT1576" s="942"/>
      <c r="BU1576" s="942"/>
      <c r="BV1576" s="84"/>
    </row>
    <row r="1577" spans="14:74" ht="14.25">
      <c r="N1577" s="84"/>
      <c r="O1577" s="84"/>
      <c r="P1577" s="84"/>
      <c r="Q1577" s="84"/>
      <c r="R1577" s="84"/>
      <c r="S1577" s="84"/>
      <c r="T1577" s="84"/>
      <c r="U1577" s="84"/>
      <c r="V1577" s="84"/>
      <c r="W1577" s="84"/>
      <c r="Y1577" s="84"/>
      <c r="Z1577" s="84"/>
      <c r="AA1577" s="84"/>
      <c r="AB1577" s="84"/>
      <c r="AC1577" s="84"/>
      <c r="AD1577" s="84"/>
      <c r="AE1577" s="84"/>
      <c r="AF1577" s="84"/>
      <c r="AG1577" s="84"/>
      <c r="AH1577" s="84"/>
      <c r="AI1577" s="84"/>
      <c r="AL1577" s="84"/>
      <c r="AM1577" s="84"/>
      <c r="AN1577" s="84"/>
      <c r="AO1577" s="84"/>
      <c r="AP1577" s="84"/>
      <c r="AQ1577" s="84"/>
      <c r="AR1577" s="84"/>
      <c r="AS1577" s="84"/>
      <c r="AT1577" s="84"/>
      <c r="AU1577" s="84"/>
      <c r="AV1577" s="84"/>
      <c r="AY1577" s="84"/>
      <c r="AZ1577" s="84"/>
      <c r="BA1577" s="84"/>
      <c r="BB1577" s="84"/>
      <c r="BC1577" s="84"/>
      <c r="BD1577" s="84"/>
      <c r="BE1577" s="84"/>
      <c r="BF1577" s="942"/>
      <c r="BG1577" s="942"/>
      <c r="BH1577" s="942"/>
      <c r="BI1577" s="84"/>
      <c r="BL1577" s="84"/>
      <c r="BM1577" s="84"/>
      <c r="BN1577" s="84"/>
      <c r="BO1577" s="84"/>
      <c r="BP1577" s="84"/>
      <c r="BQ1577" s="84"/>
      <c r="BR1577" s="84"/>
      <c r="BS1577" s="942"/>
      <c r="BT1577" s="942"/>
      <c r="BU1577" s="942"/>
      <c r="BV1577" s="84"/>
    </row>
    <row r="1578" spans="14:74" ht="14.25">
      <c r="N1578" s="84"/>
      <c r="O1578" s="84"/>
      <c r="P1578" s="84"/>
      <c r="Q1578" s="84"/>
      <c r="R1578" s="84"/>
      <c r="S1578" s="84"/>
      <c r="T1578" s="84"/>
      <c r="U1578" s="84"/>
      <c r="V1578" s="84"/>
      <c r="W1578" s="84"/>
      <c r="Y1578" s="84"/>
      <c r="Z1578" s="84"/>
      <c r="AA1578" s="84"/>
      <c r="AB1578" s="84"/>
      <c r="AC1578" s="84"/>
      <c r="AD1578" s="84"/>
      <c r="AE1578" s="84"/>
      <c r="AF1578" s="84"/>
      <c r="AG1578" s="84"/>
      <c r="AH1578" s="84"/>
      <c r="AI1578" s="84"/>
      <c r="AL1578" s="84"/>
      <c r="AM1578" s="84"/>
      <c r="AN1578" s="84"/>
      <c r="AO1578" s="84"/>
      <c r="AP1578" s="84"/>
      <c r="AQ1578" s="84"/>
      <c r="AR1578" s="84"/>
      <c r="AS1578" s="84"/>
      <c r="AT1578" s="84"/>
      <c r="AU1578" s="84"/>
      <c r="AV1578" s="84"/>
      <c r="AY1578" s="84"/>
      <c r="AZ1578" s="84"/>
      <c r="BA1578" s="84"/>
      <c r="BB1578" s="84"/>
      <c r="BC1578" s="84"/>
      <c r="BD1578" s="84"/>
      <c r="BE1578" s="84"/>
      <c r="BF1578" s="942"/>
      <c r="BG1578" s="942"/>
      <c r="BH1578" s="942"/>
      <c r="BI1578" s="84"/>
      <c r="BL1578" s="84"/>
      <c r="BM1578" s="84"/>
      <c r="BN1578" s="84"/>
      <c r="BO1578" s="84"/>
      <c r="BP1578" s="84"/>
      <c r="BQ1578" s="84"/>
      <c r="BR1578" s="84"/>
      <c r="BS1578" s="942"/>
      <c r="BT1578" s="942"/>
      <c r="BU1578" s="942"/>
      <c r="BV1578" s="84"/>
    </row>
    <row r="1579" spans="14:74" ht="14.25">
      <c r="N1579" s="84"/>
      <c r="O1579" s="84"/>
      <c r="P1579" s="84"/>
      <c r="Q1579" s="84"/>
      <c r="R1579" s="84"/>
      <c r="S1579" s="84"/>
      <c r="T1579" s="84"/>
      <c r="U1579" s="84"/>
      <c r="V1579" s="84"/>
      <c r="W1579" s="84"/>
      <c r="Y1579" s="84"/>
      <c r="Z1579" s="84"/>
      <c r="AA1579" s="84"/>
      <c r="AB1579" s="84"/>
      <c r="AC1579" s="84"/>
      <c r="AD1579" s="84"/>
      <c r="AE1579" s="84"/>
      <c r="AF1579" s="84"/>
      <c r="AG1579" s="84"/>
      <c r="AH1579" s="84"/>
      <c r="AI1579" s="84"/>
      <c r="AL1579" s="84"/>
      <c r="AM1579" s="84"/>
      <c r="AN1579" s="84"/>
      <c r="AO1579" s="84"/>
      <c r="AP1579" s="84"/>
      <c r="AQ1579" s="84"/>
      <c r="AR1579" s="84"/>
      <c r="AS1579" s="84"/>
      <c r="AT1579" s="84"/>
      <c r="AU1579" s="84"/>
      <c r="AV1579" s="84"/>
      <c r="AY1579" s="84"/>
      <c r="AZ1579" s="84"/>
      <c r="BA1579" s="84"/>
      <c r="BB1579" s="84"/>
      <c r="BC1579" s="84"/>
      <c r="BD1579" s="84"/>
      <c r="BE1579" s="84"/>
      <c r="BF1579" s="942"/>
      <c r="BG1579" s="942"/>
      <c r="BH1579" s="942"/>
      <c r="BI1579" s="84"/>
      <c r="BL1579" s="84"/>
      <c r="BM1579" s="84"/>
      <c r="BN1579" s="84"/>
      <c r="BO1579" s="84"/>
      <c r="BP1579" s="84"/>
      <c r="BQ1579" s="84"/>
      <c r="BR1579" s="84"/>
      <c r="BS1579" s="942"/>
      <c r="BT1579" s="942"/>
      <c r="BU1579" s="942"/>
      <c r="BV1579" s="84"/>
    </row>
    <row r="1580" spans="14:74" ht="14.25">
      <c r="N1580" s="84"/>
      <c r="O1580" s="84"/>
      <c r="P1580" s="84"/>
      <c r="Q1580" s="84"/>
      <c r="R1580" s="84"/>
      <c r="S1580" s="84"/>
      <c r="T1580" s="84"/>
      <c r="U1580" s="84"/>
      <c r="V1580" s="84"/>
      <c r="W1580" s="84"/>
      <c r="Y1580" s="84"/>
      <c r="Z1580" s="84"/>
      <c r="AA1580" s="84"/>
      <c r="AB1580" s="84"/>
      <c r="AC1580" s="84"/>
      <c r="AD1580" s="84"/>
      <c r="AE1580" s="84"/>
      <c r="AF1580" s="84"/>
      <c r="AG1580" s="84"/>
      <c r="AH1580" s="84"/>
      <c r="AI1580" s="84"/>
      <c r="AL1580" s="84"/>
      <c r="AM1580" s="84"/>
      <c r="AN1580" s="84"/>
      <c r="AO1580" s="84"/>
      <c r="AP1580" s="84"/>
      <c r="AQ1580" s="84"/>
      <c r="AR1580" s="84"/>
      <c r="AS1580" s="84"/>
      <c r="AT1580" s="84"/>
      <c r="AU1580" s="84"/>
      <c r="AV1580" s="84"/>
      <c r="AY1580" s="84"/>
      <c r="AZ1580" s="84"/>
      <c r="BA1580" s="84"/>
      <c r="BB1580" s="84"/>
      <c r="BC1580" s="84"/>
      <c r="BD1580" s="84"/>
      <c r="BE1580" s="84"/>
      <c r="BF1580" s="942"/>
      <c r="BG1580" s="942"/>
      <c r="BH1580" s="942"/>
      <c r="BI1580" s="84"/>
      <c r="BL1580" s="84"/>
      <c r="BM1580" s="84"/>
      <c r="BN1580" s="84"/>
      <c r="BO1580" s="84"/>
      <c r="BP1580" s="84"/>
      <c r="BQ1580" s="84"/>
      <c r="BR1580" s="84"/>
      <c r="BS1580" s="942"/>
      <c r="BT1580" s="942"/>
      <c r="BU1580" s="942"/>
      <c r="BV1580" s="84"/>
    </row>
    <row r="1581" spans="14:74" ht="14.25">
      <c r="N1581" s="84"/>
      <c r="O1581" s="84"/>
      <c r="P1581" s="84"/>
      <c r="Q1581" s="84"/>
      <c r="R1581" s="84"/>
      <c r="S1581" s="84"/>
      <c r="T1581" s="84"/>
      <c r="U1581" s="84"/>
      <c r="V1581" s="84"/>
      <c r="W1581" s="84"/>
      <c r="Y1581" s="84"/>
      <c r="Z1581" s="84"/>
      <c r="AA1581" s="84"/>
      <c r="AB1581" s="84"/>
      <c r="AC1581" s="84"/>
      <c r="AD1581" s="84"/>
      <c r="AE1581" s="84"/>
      <c r="AF1581" s="84"/>
      <c r="AG1581" s="84"/>
      <c r="AH1581" s="84"/>
      <c r="AI1581" s="84"/>
      <c r="AL1581" s="84"/>
      <c r="AM1581" s="84"/>
      <c r="AN1581" s="84"/>
      <c r="AO1581" s="84"/>
      <c r="AP1581" s="84"/>
      <c r="AQ1581" s="84"/>
      <c r="AR1581" s="84"/>
      <c r="AS1581" s="84"/>
      <c r="AT1581" s="84"/>
      <c r="AU1581" s="84"/>
      <c r="AV1581" s="84"/>
      <c r="AY1581" s="84"/>
      <c r="AZ1581" s="84"/>
      <c r="BA1581" s="84"/>
      <c r="BB1581" s="84"/>
      <c r="BC1581" s="84"/>
      <c r="BD1581" s="84"/>
      <c r="BE1581" s="84"/>
      <c r="BF1581" s="942"/>
      <c r="BG1581" s="942"/>
      <c r="BH1581" s="942"/>
      <c r="BI1581" s="84"/>
      <c r="BL1581" s="84"/>
      <c r="BM1581" s="84"/>
      <c r="BN1581" s="84"/>
      <c r="BO1581" s="84"/>
      <c r="BP1581" s="84"/>
      <c r="BQ1581" s="84"/>
      <c r="BR1581" s="84"/>
      <c r="BS1581" s="942"/>
      <c r="BT1581" s="942"/>
      <c r="BU1581" s="942"/>
      <c r="BV1581" s="84"/>
    </row>
    <row r="1582" spans="14:74" ht="14.25">
      <c r="N1582" s="84"/>
      <c r="O1582" s="84"/>
      <c r="P1582" s="84"/>
      <c r="Q1582" s="84"/>
      <c r="R1582" s="84"/>
      <c r="S1582" s="84"/>
      <c r="T1582" s="84"/>
      <c r="U1582" s="84"/>
      <c r="V1582" s="84"/>
      <c r="W1582" s="84"/>
      <c r="Y1582" s="84"/>
      <c r="Z1582" s="84"/>
      <c r="AA1582" s="84"/>
      <c r="AB1582" s="84"/>
      <c r="AC1582" s="84"/>
      <c r="AD1582" s="84"/>
      <c r="AE1582" s="84"/>
      <c r="AF1582" s="84"/>
      <c r="AG1582" s="84"/>
      <c r="AH1582" s="84"/>
      <c r="AI1582" s="84"/>
      <c r="AL1582" s="84"/>
      <c r="AM1582" s="84"/>
      <c r="AN1582" s="84"/>
      <c r="AO1582" s="84"/>
      <c r="AP1582" s="84"/>
      <c r="AQ1582" s="84"/>
      <c r="AR1582" s="84"/>
      <c r="AS1582" s="84"/>
      <c r="AT1582" s="84"/>
      <c r="AU1582" s="84"/>
      <c r="AV1582" s="84"/>
      <c r="AY1582" s="84"/>
      <c r="AZ1582" s="84"/>
      <c r="BA1582" s="84"/>
      <c r="BB1582" s="84"/>
      <c r="BC1582" s="84"/>
      <c r="BD1582" s="84"/>
      <c r="BE1582" s="84"/>
      <c r="BF1582" s="942"/>
      <c r="BG1582" s="942"/>
      <c r="BH1582" s="942"/>
      <c r="BI1582" s="84"/>
      <c r="BL1582" s="84"/>
      <c r="BM1582" s="84"/>
      <c r="BN1582" s="84"/>
      <c r="BO1582" s="84"/>
      <c r="BP1582" s="84"/>
      <c r="BQ1582" s="84"/>
      <c r="BR1582" s="84"/>
      <c r="BS1582" s="942"/>
      <c r="BT1582" s="942"/>
      <c r="BU1582" s="942"/>
      <c r="BV1582" s="84"/>
    </row>
    <row r="1583" spans="14:74" ht="14.25">
      <c r="N1583" s="84"/>
      <c r="O1583" s="84"/>
      <c r="P1583" s="84"/>
      <c r="Q1583" s="84"/>
      <c r="R1583" s="84"/>
      <c r="S1583" s="84"/>
      <c r="T1583" s="84"/>
      <c r="U1583" s="84"/>
      <c r="V1583" s="84"/>
      <c r="W1583" s="84"/>
      <c r="Y1583" s="84"/>
      <c r="Z1583" s="84"/>
      <c r="AA1583" s="84"/>
      <c r="AB1583" s="84"/>
      <c r="AC1583" s="84"/>
      <c r="AD1583" s="84"/>
      <c r="AE1583" s="84"/>
      <c r="AF1583" s="84"/>
      <c r="AG1583" s="84"/>
      <c r="AH1583" s="84"/>
      <c r="AI1583" s="84"/>
      <c r="AL1583" s="84"/>
      <c r="AM1583" s="84"/>
      <c r="AN1583" s="84"/>
      <c r="AO1583" s="84"/>
      <c r="AP1583" s="84"/>
      <c r="AQ1583" s="84"/>
      <c r="AR1583" s="84"/>
      <c r="AS1583" s="84"/>
      <c r="AT1583" s="84"/>
      <c r="AU1583" s="84"/>
      <c r="AV1583" s="84"/>
      <c r="AY1583" s="84"/>
      <c r="AZ1583" s="84"/>
      <c r="BA1583" s="84"/>
      <c r="BB1583" s="84"/>
      <c r="BC1583" s="84"/>
      <c r="BD1583" s="84"/>
      <c r="BE1583" s="84"/>
      <c r="BF1583" s="942"/>
      <c r="BG1583" s="942"/>
      <c r="BH1583" s="942"/>
      <c r="BI1583" s="84"/>
      <c r="BL1583" s="84"/>
      <c r="BM1583" s="84"/>
      <c r="BN1583" s="84"/>
      <c r="BO1583" s="84"/>
      <c r="BP1583" s="84"/>
      <c r="BQ1583" s="84"/>
      <c r="BR1583" s="84"/>
      <c r="BS1583" s="942"/>
      <c r="BT1583" s="942"/>
      <c r="BU1583" s="942"/>
      <c r="BV1583" s="84"/>
    </row>
    <row r="1584" spans="14:74" ht="14.25">
      <c r="N1584" s="84"/>
      <c r="O1584" s="84"/>
      <c r="P1584" s="84"/>
      <c r="Q1584" s="84"/>
      <c r="R1584" s="84"/>
      <c r="S1584" s="84"/>
      <c r="T1584" s="84"/>
      <c r="U1584" s="84"/>
      <c r="V1584" s="84"/>
      <c r="W1584" s="84"/>
      <c r="Y1584" s="84"/>
      <c r="Z1584" s="84"/>
      <c r="AA1584" s="84"/>
      <c r="AB1584" s="84"/>
      <c r="AC1584" s="84"/>
      <c r="AD1584" s="84"/>
      <c r="AE1584" s="84"/>
      <c r="AF1584" s="84"/>
      <c r="AG1584" s="84"/>
      <c r="AH1584" s="84"/>
      <c r="AI1584" s="84"/>
      <c r="AL1584" s="84"/>
      <c r="AM1584" s="84"/>
      <c r="AN1584" s="84"/>
      <c r="AO1584" s="84"/>
      <c r="AP1584" s="84"/>
      <c r="AQ1584" s="84"/>
      <c r="AR1584" s="84"/>
      <c r="AS1584" s="84"/>
      <c r="AT1584" s="84"/>
      <c r="AU1584" s="84"/>
      <c r="AV1584" s="84"/>
      <c r="AY1584" s="84"/>
      <c r="AZ1584" s="84"/>
      <c r="BA1584" s="84"/>
      <c r="BB1584" s="84"/>
      <c r="BC1584" s="84"/>
      <c r="BD1584" s="84"/>
      <c r="BE1584" s="84"/>
      <c r="BF1584" s="942"/>
      <c r="BG1584" s="942"/>
      <c r="BH1584" s="942"/>
      <c r="BI1584" s="84"/>
      <c r="BL1584" s="84"/>
      <c r="BM1584" s="84"/>
      <c r="BN1584" s="84"/>
      <c r="BO1584" s="84"/>
      <c r="BP1584" s="84"/>
      <c r="BQ1584" s="84"/>
      <c r="BR1584" s="84"/>
      <c r="BS1584" s="942"/>
      <c r="BT1584" s="942"/>
      <c r="BU1584" s="942"/>
      <c r="BV1584" s="84"/>
    </row>
    <row r="1585" spans="14:74" ht="14.25">
      <c r="N1585" s="84"/>
      <c r="O1585" s="84"/>
      <c r="P1585" s="84"/>
      <c r="Q1585" s="84"/>
      <c r="R1585" s="84"/>
      <c r="S1585" s="84"/>
      <c r="T1585" s="84"/>
      <c r="U1585" s="84"/>
      <c r="V1585" s="84"/>
      <c r="W1585" s="84"/>
      <c r="Y1585" s="84"/>
      <c r="Z1585" s="84"/>
      <c r="AA1585" s="84"/>
      <c r="AB1585" s="84"/>
      <c r="AC1585" s="84"/>
      <c r="AD1585" s="84"/>
      <c r="AE1585" s="84"/>
      <c r="AF1585" s="84"/>
      <c r="AG1585" s="84"/>
      <c r="AH1585" s="84"/>
      <c r="AI1585" s="84"/>
      <c r="AL1585" s="84"/>
      <c r="AM1585" s="84"/>
      <c r="AN1585" s="84"/>
      <c r="AO1585" s="84"/>
      <c r="AP1585" s="84"/>
      <c r="AQ1585" s="84"/>
      <c r="AR1585" s="84"/>
      <c r="AS1585" s="84"/>
      <c r="AT1585" s="84"/>
      <c r="AU1585" s="84"/>
      <c r="AV1585" s="84"/>
      <c r="AY1585" s="84"/>
      <c r="AZ1585" s="84"/>
      <c r="BA1585" s="84"/>
      <c r="BB1585" s="84"/>
      <c r="BC1585" s="84"/>
      <c r="BD1585" s="84"/>
      <c r="BE1585" s="84"/>
      <c r="BF1585" s="942"/>
      <c r="BG1585" s="942"/>
      <c r="BH1585" s="942"/>
      <c r="BI1585" s="84"/>
      <c r="BL1585" s="84"/>
      <c r="BM1585" s="84"/>
      <c r="BN1585" s="84"/>
      <c r="BO1585" s="84"/>
      <c r="BP1585" s="84"/>
      <c r="BQ1585" s="84"/>
      <c r="BR1585" s="84"/>
      <c r="BS1585" s="942"/>
      <c r="BT1585" s="942"/>
      <c r="BU1585" s="942"/>
      <c r="BV1585" s="84"/>
    </row>
    <row r="1586" spans="14:74" ht="14.25">
      <c r="N1586" s="84"/>
      <c r="O1586" s="84"/>
      <c r="P1586" s="84"/>
      <c r="Q1586" s="84"/>
      <c r="R1586" s="84"/>
      <c r="S1586" s="84"/>
      <c r="T1586" s="84"/>
      <c r="U1586" s="84"/>
      <c r="V1586" s="84"/>
      <c r="W1586" s="84"/>
      <c r="Y1586" s="84"/>
      <c r="Z1586" s="84"/>
      <c r="AA1586" s="84"/>
      <c r="AB1586" s="84"/>
      <c r="AC1586" s="84"/>
      <c r="AD1586" s="84"/>
      <c r="AE1586" s="84"/>
      <c r="AF1586" s="84"/>
      <c r="AG1586" s="84"/>
      <c r="AH1586" s="84"/>
      <c r="AI1586" s="84"/>
      <c r="AL1586" s="84"/>
      <c r="AM1586" s="84"/>
      <c r="AN1586" s="84"/>
      <c r="AO1586" s="84"/>
      <c r="AP1586" s="84"/>
      <c r="AQ1586" s="84"/>
      <c r="AR1586" s="84"/>
      <c r="AS1586" s="84"/>
      <c r="AT1586" s="84"/>
      <c r="AU1586" s="84"/>
      <c r="AV1586" s="84"/>
      <c r="AY1586" s="84"/>
      <c r="AZ1586" s="84"/>
      <c r="BA1586" s="84"/>
      <c r="BB1586" s="84"/>
      <c r="BC1586" s="84"/>
      <c r="BD1586" s="84"/>
      <c r="BE1586" s="84"/>
      <c r="BF1586" s="942"/>
      <c r="BG1586" s="942"/>
      <c r="BH1586" s="942"/>
      <c r="BI1586" s="84"/>
      <c r="BL1586" s="84"/>
      <c r="BM1586" s="84"/>
      <c r="BN1586" s="84"/>
      <c r="BO1586" s="84"/>
      <c r="BP1586" s="84"/>
      <c r="BQ1586" s="84"/>
      <c r="BR1586" s="84"/>
      <c r="BS1586" s="942"/>
      <c r="BT1586" s="942"/>
      <c r="BU1586" s="942"/>
      <c r="BV1586" s="84"/>
    </row>
    <row r="1587" spans="14:74" ht="14.25">
      <c r="N1587" s="84"/>
      <c r="O1587" s="84"/>
      <c r="P1587" s="84"/>
      <c r="Q1587" s="84"/>
      <c r="R1587" s="84"/>
      <c r="S1587" s="84"/>
      <c r="T1587" s="84"/>
      <c r="U1587" s="84"/>
      <c r="V1587" s="84"/>
      <c r="W1587" s="84"/>
      <c r="Y1587" s="84"/>
      <c r="Z1587" s="84"/>
      <c r="AA1587" s="84"/>
      <c r="AB1587" s="84"/>
      <c r="AC1587" s="84"/>
      <c r="AD1587" s="84"/>
      <c r="AE1587" s="84"/>
      <c r="AF1587" s="84"/>
      <c r="AG1587" s="84"/>
      <c r="AH1587" s="84"/>
      <c r="AI1587" s="84"/>
      <c r="AL1587" s="84"/>
      <c r="AM1587" s="84"/>
      <c r="AN1587" s="84"/>
      <c r="AO1587" s="84"/>
      <c r="AP1587" s="84"/>
      <c r="AQ1587" s="84"/>
      <c r="AR1587" s="84"/>
      <c r="AS1587" s="84"/>
      <c r="AT1587" s="84"/>
      <c r="AU1587" s="84"/>
      <c r="AV1587" s="84"/>
      <c r="AY1587" s="84"/>
      <c r="AZ1587" s="84"/>
      <c r="BA1587" s="84"/>
      <c r="BB1587" s="84"/>
      <c r="BC1587" s="84"/>
      <c r="BD1587" s="84"/>
      <c r="BE1587" s="84"/>
      <c r="BF1587" s="942"/>
      <c r="BG1587" s="942"/>
      <c r="BH1587" s="942"/>
      <c r="BI1587" s="84"/>
      <c r="BL1587" s="84"/>
      <c r="BM1587" s="84"/>
      <c r="BN1587" s="84"/>
      <c r="BO1587" s="84"/>
      <c r="BP1587" s="84"/>
      <c r="BQ1587" s="84"/>
      <c r="BR1587" s="84"/>
      <c r="BS1587" s="942"/>
      <c r="BT1587" s="942"/>
      <c r="BU1587" s="942"/>
      <c r="BV1587" s="84"/>
    </row>
    <row r="1588" spans="14:74" ht="14.25">
      <c r="N1588" s="84"/>
      <c r="O1588" s="84"/>
      <c r="P1588" s="84"/>
      <c r="Q1588" s="84"/>
      <c r="R1588" s="84"/>
      <c r="S1588" s="84"/>
      <c r="T1588" s="84"/>
      <c r="U1588" s="84"/>
      <c r="V1588" s="84"/>
      <c r="W1588" s="84"/>
      <c r="Y1588" s="84"/>
      <c r="Z1588" s="84"/>
      <c r="AA1588" s="84"/>
      <c r="AB1588" s="84"/>
      <c r="AC1588" s="84"/>
      <c r="AD1588" s="84"/>
      <c r="AE1588" s="84"/>
      <c r="AF1588" s="84"/>
      <c r="AG1588" s="84"/>
      <c r="AH1588" s="84"/>
      <c r="AI1588" s="84"/>
      <c r="AL1588" s="84"/>
      <c r="AM1588" s="84"/>
      <c r="AN1588" s="84"/>
      <c r="AO1588" s="84"/>
      <c r="AP1588" s="84"/>
      <c r="AQ1588" s="84"/>
      <c r="AR1588" s="84"/>
      <c r="AS1588" s="84"/>
      <c r="AT1588" s="84"/>
      <c r="AU1588" s="84"/>
      <c r="AV1588" s="84"/>
      <c r="AY1588" s="84"/>
      <c r="AZ1588" s="84"/>
      <c r="BA1588" s="84"/>
      <c r="BB1588" s="84"/>
      <c r="BC1588" s="84"/>
      <c r="BD1588" s="84"/>
      <c r="BE1588" s="84"/>
      <c r="BF1588" s="942"/>
      <c r="BG1588" s="942"/>
      <c r="BH1588" s="942"/>
      <c r="BI1588" s="84"/>
      <c r="BL1588" s="84"/>
      <c r="BM1588" s="84"/>
      <c r="BN1588" s="84"/>
      <c r="BO1588" s="84"/>
      <c r="BP1588" s="84"/>
      <c r="BQ1588" s="84"/>
      <c r="BR1588" s="84"/>
      <c r="BS1588" s="942"/>
      <c r="BT1588" s="942"/>
      <c r="BU1588" s="942"/>
      <c r="BV1588" s="84"/>
    </row>
    <row r="1589" spans="14:74" ht="14.25">
      <c r="N1589" s="84"/>
      <c r="O1589" s="84"/>
      <c r="P1589" s="84"/>
      <c r="Q1589" s="84"/>
      <c r="R1589" s="84"/>
      <c r="S1589" s="84"/>
      <c r="T1589" s="84"/>
      <c r="U1589" s="84"/>
      <c r="V1589" s="84"/>
      <c r="W1589" s="84"/>
      <c r="Y1589" s="84"/>
      <c r="Z1589" s="84"/>
      <c r="AA1589" s="84"/>
      <c r="AB1589" s="84"/>
      <c r="AC1589" s="84"/>
      <c r="AD1589" s="84"/>
      <c r="AE1589" s="84"/>
      <c r="AF1589" s="84"/>
      <c r="AG1589" s="84"/>
      <c r="AH1589" s="84"/>
      <c r="AI1589" s="84"/>
      <c r="AL1589" s="84"/>
      <c r="AM1589" s="84"/>
      <c r="AN1589" s="84"/>
      <c r="AO1589" s="84"/>
      <c r="AP1589" s="84"/>
      <c r="AQ1589" s="84"/>
      <c r="AR1589" s="84"/>
      <c r="AS1589" s="84"/>
      <c r="AT1589" s="84"/>
      <c r="AU1589" s="84"/>
      <c r="AV1589" s="84"/>
      <c r="AY1589" s="84"/>
      <c r="AZ1589" s="84"/>
      <c r="BA1589" s="84"/>
      <c r="BB1589" s="84"/>
      <c r="BC1589" s="84"/>
      <c r="BD1589" s="84"/>
      <c r="BE1589" s="84"/>
      <c r="BF1589" s="942"/>
      <c r="BG1589" s="942"/>
      <c r="BH1589" s="942"/>
      <c r="BI1589" s="84"/>
      <c r="BL1589" s="84"/>
      <c r="BM1589" s="84"/>
      <c r="BN1589" s="84"/>
      <c r="BO1589" s="84"/>
      <c r="BP1589" s="84"/>
      <c r="BQ1589" s="84"/>
      <c r="BR1589" s="84"/>
      <c r="BS1589" s="942"/>
      <c r="BT1589" s="942"/>
      <c r="BU1589" s="942"/>
      <c r="BV1589" s="84"/>
    </row>
    <row r="1590" spans="14:74" ht="14.25">
      <c r="N1590" s="84"/>
      <c r="O1590" s="84"/>
      <c r="P1590" s="84"/>
      <c r="Q1590" s="84"/>
      <c r="R1590" s="84"/>
      <c r="S1590" s="84"/>
      <c r="T1590" s="84"/>
      <c r="U1590" s="84"/>
      <c r="V1590" s="84"/>
      <c r="W1590" s="84"/>
      <c r="Y1590" s="84"/>
      <c r="Z1590" s="84"/>
      <c r="AA1590" s="84"/>
      <c r="AB1590" s="84"/>
      <c r="AC1590" s="84"/>
      <c r="AD1590" s="84"/>
      <c r="AE1590" s="84"/>
      <c r="AF1590" s="84"/>
      <c r="AG1590" s="84"/>
      <c r="AH1590" s="84"/>
      <c r="AI1590" s="84"/>
      <c r="AL1590" s="84"/>
      <c r="AM1590" s="84"/>
      <c r="AN1590" s="84"/>
      <c r="AO1590" s="84"/>
      <c r="AP1590" s="84"/>
      <c r="AQ1590" s="84"/>
      <c r="AR1590" s="84"/>
      <c r="AS1590" s="84"/>
      <c r="AT1590" s="84"/>
      <c r="AU1590" s="84"/>
      <c r="AV1590" s="84"/>
      <c r="AY1590" s="84"/>
      <c r="AZ1590" s="84"/>
      <c r="BA1590" s="84"/>
      <c r="BB1590" s="84"/>
      <c r="BC1590" s="84"/>
      <c r="BD1590" s="84"/>
      <c r="BE1590" s="84"/>
      <c r="BF1590" s="942"/>
      <c r="BG1590" s="942"/>
      <c r="BH1590" s="942"/>
      <c r="BI1590" s="84"/>
      <c r="BL1590" s="84"/>
      <c r="BM1590" s="84"/>
      <c r="BN1590" s="84"/>
      <c r="BO1590" s="84"/>
      <c r="BP1590" s="84"/>
      <c r="BQ1590" s="84"/>
      <c r="BR1590" s="84"/>
      <c r="BS1590" s="942"/>
      <c r="BT1590" s="942"/>
      <c r="BU1590" s="942"/>
      <c r="BV1590" s="84"/>
    </row>
    <row r="1591" spans="14:74" ht="14.25">
      <c r="N1591" s="84"/>
      <c r="O1591" s="84"/>
      <c r="P1591" s="84"/>
      <c r="Q1591" s="84"/>
      <c r="R1591" s="84"/>
      <c r="S1591" s="84"/>
      <c r="T1591" s="84"/>
      <c r="U1591" s="84"/>
      <c r="V1591" s="84"/>
      <c r="W1591" s="84"/>
      <c r="Y1591" s="84"/>
      <c r="Z1591" s="84"/>
      <c r="AA1591" s="84"/>
      <c r="AB1591" s="84"/>
      <c r="AC1591" s="84"/>
      <c r="AD1591" s="84"/>
      <c r="AE1591" s="84"/>
      <c r="AF1591" s="84"/>
      <c r="AG1591" s="84"/>
      <c r="AH1591" s="84"/>
      <c r="AI1591" s="84"/>
      <c r="AL1591" s="84"/>
      <c r="AM1591" s="84"/>
      <c r="AN1591" s="84"/>
      <c r="AO1591" s="84"/>
      <c r="AP1591" s="84"/>
      <c r="AQ1591" s="84"/>
      <c r="AR1591" s="84"/>
      <c r="AS1591" s="84"/>
      <c r="AT1591" s="84"/>
      <c r="AU1591" s="84"/>
      <c r="AV1591" s="84"/>
      <c r="AY1591" s="84"/>
      <c r="AZ1591" s="84"/>
      <c r="BA1591" s="84"/>
      <c r="BB1591" s="84"/>
      <c r="BC1591" s="84"/>
      <c r="BD1591" s="84"/>
      <c r="BE1591" s="84"/>
      <c r="BF1591" s="942"/>
      <c r="BG1591" s="942"/>
      <c r="BH1591" s="942"/>
      <c r="BI1591" s="84"/>
      <c r="BL1591" s="84"/>
      <c r="BM1591" s="84"/>
      <c r="BN1591" s="84"/>
      <c r="BO1591" s="84"/>
      <c r="BP1591" s="84"/>
      <c r="BQ1591" s="84"/>
      <c r="BR1591" s="84"/>
      <c r="BS1591" s="942"/>
      <c r="BT1591" s="942"/>
      <c r="BU1591" s="942"/>
      <c r="BV1591" s="84"/>
    </row>
    <row r="1592" spans="14:74" ht="14.25">
      <c r="N1592" s="84"/>
      <c r="O1592" s="84"/>
      <c r="P1592" s="84"/>
      <c r="Q1592" s="84"/>
      <c r="R1592" s="84"/>
      <c r="S1592" s="84"/>
      <c r="T1592" s="84"/>
      <c r="U1592" s="84"/>
      <c r="V1592" s="84"/>
      <c r="W1592" s="84"/>
      <c r="Y1592" s="84"/>
      <c r="Z1592" s="84"/>
      <c r="AA1592" s="84"/>
      <c r="AB1592" s="84"/>
      <c r="AC1592" s="84"/>
      <c r="AD1592" s="84"/>
      <c r="AE1592" s="84"/>
      <c r="AF1592" s="84"/>
      <c r="AG1592" s="84"/>
      <c r="AH1592" s="84"/>
      <c r="AI1592" s="84"/>
      <c r="AL1592" s="84"/>
      <c r="AM1592" s="84"/>
      <c r="AN1592" s="84"/>
      <c r="AO1592" s="84"/>
      <c r="AP1592" s="84"/>
      <c r="AQ1592" s="84"/>
      <c r="AR1592" s="84"/>
      <c r="AS1592" s="84"/>
      <c r="AT1592" s="84"/>
      <c r="AU1592" s="84"/>
      <c r="AV1592" s="84"/>
      <c r="AY1592" s="84"/>
      <c r="AZ1592" s="84"/>
      <c r="BA1592" s="84"/>
      <c r="BB1592" s="84"/>
      <c r="BC1592" s="84"/>
      <c r="BD1592" s="84"/>
      <c r="BE1592" s="84"/>
      <c r="BF1592" s="942"/>
      <c r="BG1592" s="942"/>
      <c r="BH1592" s="942"/>
      <c r="BI1592" s="84"/>
      <c r="BL1592" s="84"/>
      <c r="BM1592" s="84"/>
      <c r="BN1592" s="84"/>
      <c r="BO1592" s="84"/>
      <c r="BP1592" s="84"/>
      <c r="BQ1592" s="84"/>
      <c r="BR1592" s="84"/>
      <c r="BS1592" s="942"/>
      <c r="BT1592" s="942"/>
      <c r="BU1592" s="942"/>
      <c r="BV1592" s="84"/>
    </row>
    <row r="1593" spans="14:74" ht="14.25">
      <c r="N1593" s="84"/>
      <c r="O1593" s="84"/>
      <c r="P1593" s="84"/>
      <c r="Q1593" s="84"/>
      <c r="R1593" s="84"/>
      <c r="S1593" s="84"/>
      <c r="T1593" s="84"/>
      <c r="U1593" s="84"/>
      <c r="V1593" s="84"/>
      <c r="W1593" s="84"/>
      <c r="Y1593" s="84"/>
      <c r="Z1593" s="84"/>
      <c r="AA1593" s="84"/>
      <c r="AB1593" s="84"/>
      <c r="AC1593" s="84"/>
      <c r="AD1593" s="84"/>
      <c r="AE1593" s="84"/>
      <c r="AF1593" s="84"/>
      <c r="AG1593" s="84"/>
      <c r="AH1593" s="84"/>
      <c r="AI1593" s="84"/>
      <c r="AL1593" s="84"/>
      <c r="AM1593" s="84"/>
      <c r="AN1593" s="84"/>
      <c r="AO1593" s="84"/>
      <c r="AP1593" s="84"/>
      <c r="AQ1593" s="84"/>
      <c r="AR1593" s="84"/>
      <c r="AS1593" s="84"/>
      <c r="AT1593" s="84"/>
      <c r="AU1593" s="84"/>
      <c r="AV1593" s="84"/>
      <c r="AY1593" s="84"/>
      <c r="AZ1593" s="84"/>
      <c r="BA1593" s="84"/>
      <c r="BB1593" s="84"/>
      <c r="BC1593" s="84"/>
      <c r="BD1593" s="84"/>
      <c r="BE1593" s="84"/>
      <c r="BF1593" s="942"/>
      <c r="BG1593" s="942"/>
      <c r="BH1593" s="942"/>
      <c r="BI1593" s="84"/>
      <c r="BL1593" s="84"/>
      <c r="BM1593" s="84"/>
      <c r="BN1593" s="84"/>
      <c r="BO1593" s="84"/>
      <c r="BP1593" s="84"/>
      <c r="BQ1593" s="84"/>
      <c r="BR1593" s="84"/>
      <c r="BS1593" s="942"/>
      <c r="BT1593" s="942"/>
      <c r="BU1593" s="942"/>
      <c r="BV1593" s="84"/>
    </row>
    <row r="1594" spans="14:74" ht="14.25">
      <c r="N1594" s="84"/>
      <c r="O1594" s="84"/>
      <c r="P1594" s="84"/>
      <c r="Q1594" s="84"/>
      <c r="R1594" s="84"/>
      <c r="S1594" s="84"/>
      <c r="T1594" s="84"/>
      <c r="U1594" s="84"/>
      <c r="V1594" s="84"/>
      <c r="W1594" s="84"/>
      <c r="Y1594" s="84"/>
      <c r="Z1594" s="84"/>
      <c r="AA1594" s="84"/>
      <c r="AB1594" s="84"/>
      <c r="AC1594" s="84"/>
      <c r="AD1594" s="84"/>
      <c r="AE1594" s="84"/>
      <c r="AF1594" s="84"/>
      <c r="AG1594" s="84"/>
      <c r="AH1594" s="84"/>
      <c r="AI1594" s="84"/>
      <c r="AL1594" s="84"/>
      <c r="AM1594" s="84"/>
      <c r="AN1594" s="84"/>
      <c r="AO1594" s="84"/>
      <c r="AP1594" s="84"/>
      <c r="AQ1594" s="84"/>
      <c r="AR1594" s="84"/>
      <c r="AS1594" s="84"/>
      <c r="AT1594" s="84"/>
      <c r="AU1594" s="84"/>
      <c r="AV1594" s="84"/>
      <c r="AY1594" s="84"/>
      <c r="AZ1594" s="84"/>
      <c r="BA1594" s="84"/>
      <c r="BB1594" s="84"/>
      <c r="BC1594" s="84"/>
      <c r="BD1594" s="84"/>
      <c r="BE1594" s="84"/>
      <c r="BF1594" s="942"/>
      <c r="BG1594" s="942"/>
      <c r="BH1594" s="942"/>
      <c r="BI1594" s="84"/>
      <c r="BL1594" s="84"/>
      <c r="BM1594" s="84"/>
      <c r="BN1594" s="84"/>
      <c r="BO1594" s="84"/>
      <c r="BP1594" s="84"/>
      <c r="BQ1594" s="84"/>
      <c r="BR1594" s="84"/>
      <c r="BS1594" s="942"/>
      <c r="BT1594" s="942"/>
      <c r="BU1594" s="942"/>
      <c r="BV1594" s="84"/>
    </row>
    <row r="1595" spans="14:74" ht="14.25">
      <c r="N1595" s="84"/>
      <c r="O1595" s="84"/>
      <c r="P1595" s="84"/>
      <c r="Q1595" s="84"/>
      <c r="R1595" s="84"/>
      <c r="S1595" s="84"/>
      <c r="T1595" s="84"/>
      <c r="U1595" s="84"/>
      <c r="V1595" s="84"/>
      <c r="W1595" s="84"/>
      <c r="Y1595" s="84"/>
      <c r="Z1595" s="84"/>
      <c r="AA1595" s="84"/>
      <c r="AB1595" s="84"/>
      <c r="AC1595" s="84"/>
      <c r="AD1595" s="84"/>
      <c r="AE1595" s="84"/>
      <c r="AF1595" s="84"/>
      <c r="AG1595" s="84"/>
      <c r="AH1595" s="84"/>
      <c r="AI1595" s="84"/>
      <c r="AL1595" s="84"/>
      <c r="AM1595" s="84"/>
      <c r="AN1595" s="84"/>
      <c r="AO1595" s="84"/>
      <c r="AP1595" s="84"/>
      <c r="AQ1595" s="84"/>
      <c r="AR1595" s="84"/>
      <c r="AS1595" s="84"/>
      <c r="AT1595" s="84"/>
      <c r="AU1595" s="84"/>
      <c r="AV1595" s="84"/>
      <c r="AY1595" s="84"/>
      <c r="AZ1595" s="84"/>
      <c r="BA1595" s="84"/>
      <c r="BB1595" s="84"/>
      <c r="BC1595" s="84"/>
      <c r="BD1595" s="84"/>
      <c r="BE1595" s="84"/>
      <c r="BF1595" s="942"/>
      <c r="BG1595" s="942"/>
      <c r="BH1595" s="942"/>
      <c r="BI1595" s="84"/>
      <c r="BL1595" s="84"/>
      <c r="BM1595" s="84"/>
      <c r="BN1595" s="84"/>
      <c r="BO1595" s="84"/>
      <c r="BP1595" s="84"/>
      <c r="BQ1595" s="84"/>
      <c r="BR1595" s="84"/>
      <c r="BS1595" s="942"/>
      <c r="BT1595" s="942"/>
      <c r="BU1595" s="942"/>
      <c r="BV1595" s="84"/>
    </row>
    <row r="1596" spans="14:74" ht="14.25">
      <c r="N1596" s="84"/>
      <c r="O1596" s="84"/>
      <c r="P1596" s="84"/>
      <c r="Q1596" s="84"/>
      <c r="R1596" s="84"/>
      <c r="S1596" s="84"/>
      <c r="T1596" s="84"/>
      <c r="U1596" s="84"/>
      <c r="V1596" s="84"/>
      <c r="W1596" s="84"/>
      <c r="Y1596" s="84"/>
      <c r="Z1596" s="84"/>
      <c r="AA1596" s="84"/>
      <c r="AB1596" s="84"/>
      <c r="AC1596" s="84"/>
      <c r="AD1596" s="84"/>
      <c r="AE1596" s="84"/>
      <c r="AF1596" s="84"/>
      <c r="AG1596" s="84"/>
      <c r="AH1596" s="84"/>
      <c r="AI1596" s="84"/>
      <c r="AL1596" s="84"/>
      <c r="AM1596" s="84"/>
      <c r="AN1596" s="84"/>
      <c r="AO1596" s="84"/>
      <c r="AP1596" s="84"/>
      <c r="AQ1596" s="84"/>
      <c r="AR1596" s="84"/>
      <c r="AS1596" s="84"/>
      <c r="AT1596" s="84"/>
      <c r="AU1596" s="84"/>
      <c r="AV1596" s="84"/>
      <c r="AY1596" s="84"/>
      <c r="AZ1596" s="84"/>
      <c r="BA1596" s="84"/>
      <c r="BB1596" s="84"/>
      <c r="BC1596" s="84"/>
      <c r="BD1596" s="84"/>
      <c r="BE1596" s="84"/>
      <c r="BF1596" s="942"/>
      <c r="BG1596" s="942"/>
      <c r="BH1596" s="942"/>
      <c r="BI1596" s="84"/>
      <c r="BL1596" s="84"/>
      <c r="BM1596" s="84"/>
      <c r="BN1596" s="84"/>
      <c r="BO1596" s="84"/>
      <c r="BP1596" s="84"/>
      <c r="BQ1596" s="84"/>
      <c r="BR1596" s="84"/>
      <c r="BS1596" s="942"/>
      <c r="BT1596" s="942"/>
      <c r="BU1596" s="942"/>
      <c r="BV1596" s="84"/>
    </row>
    <row r="1597" spans="14:74" ht="14.25">
      <c r="N1597" s="84"/>
      <c r="O1597" s="84"/>
      <c r="P1597" s="84"/>
      <c r="Q1597" s="84"/>
      <c r="R1597" s="84"/>
      <c r="S1597" s="84"/>
      <c r="T1597" s="84"/>
      <c r="U1597" s="84"/>
      <c r="V1597" s="84"/>
      <c r="W1597" s="84"/>
      <c r="Y1597" s="84"/>
      <c r="Z1597" s="84"/>
      <c r="AA1597" s="84"/>
      <c r="AB1597" s="84"/>
      <c r="AC1597" s="84"/>
      <c r="AD1597" s="84"/>
      <c r="AE1597" s="84"/>
      <c r="AF1597" s="84"/>
      <c r="AG1597" s="84"/>
      <c r="AH1597" s="84"/>
      <c r="AI1597" s="84"/>
      <c r="AL1597" s="84"/>
      <c r="AM1597" s="84"/>
      <c r="AN1597" s="84"/>
      <c r="AO1597" s="84"/>
      <c r="AP1597" s="84"/>
      <c r="AQ1597" s="84"/>
      <c r="AR1597" s="84"/>
      <c r="AS1597" s="84"/>
      <c r="AT1597" s="84"/>
      <c r="AU1597" s="84"/>
      <c r="AV1597" s="84"/>
      <c r="AY1597" s="84"/>
      <c r="AZ1597" s="84"/>
      <c r="BA1597" s="84"/>
      <c r="BB1597" s="84"/>
      <c r="BC1597" s="84"/>
      <c r="BD1597" s="84"/>
      <c r="BE1597" s="84"/>
      <c r="BF1597" s="942"/>
      <c r="BG1597" s="942"/>
      <c r="BH1597" s="942"/>
      <c r="BI1597" s="84"/>
      <c r="BL1597" s="84"/>
      <c r="BM1597" s="84"/>
      <c r="BN1597" s="84"/>
      <c r="BO1597" s="84"/>
      <c r="BP1597" s="84"/>
      <c r="BQ1597" s="84"/>
      <c r="BR1597" s="84"/>
      <c r="BS1597" s="942"/>
      <c r="BT1597" s="942"/>
      <c r="BU1597" s="942"/>
      <c r="BV1597" s="84"/>
    </row>
    <row r="1598" spans="14:74" ht="14.25">
      <c r="N1598" s="84"/>
      <c r="O1598" s="84"/>
      <c r="P1598" s="84"/>
      <c r="Q1598" s="84"/>
      <c r="R1598" s="84"/>
      <c r="S1598" s="84"/>
      <c r="T1598" s="84"/>
      <c r="U1598" s="84"/>
      <c r="V1598" s="84"/>
      <c r="W1598" s="84"/>
      <c r="Y1598" s="84"/>
      <c r="Z1598" s="84"/>
      <c r="AA1598" s="84"/>
      <c r="AB1598" s="84"/>
      <c r="AC1598" s="84"/>
      <c r="AD1598" s="84"/>
      <c r="AE1598" s="84"/>
      <c r="AF1598" s="84"/>
      <c r="AG1598" s="84"/>
      <c r="AH1598" s="84"/>
      <c r="AI1598" s="84"/>
      <c r="AL1598" s="84"/>
      <c r="AM1598" s="84"/>
      <c r="AN1598" s="84"/>
      <c r="AO1598" s="84"/>
      <c r="AP1598" s="84"/>
      <c r="AQ1598" s="84"/>
      <c r="AR1598" s="84"/>
      <c r="AS1598" s="84"/>
      <c r="AT1598" s="84"/>
      <c r="AU1598" s="84"/>
      <c r="AV1598" s="84"/>
      <c r="AY1598" s="84"/>
      <c r="AZ1598" s="84"/>
      <c r="BA1598" s="84"/>
      <c r="BB1598" s="84"/>
      <c r="BC1598" s="84"/>
      <c r="BD1598" s="84"/>
      <c r="BE1598" s="84"/>
      <c r="BF1598" s="942"/>
      <c r="BG1598" s="942"/>
      <c r="BH1598" s="942"/>
      <c r="BI1598" s="84"/>
      <c r="BL1598" s="84"/>
      <c r="BM1598" s="84"/>
      <c r="BN1598" s="84"/>
      <c r="BO1598" s="84"/>
      <c r="BP1598" s="84"/>
      <c r="BQ1598" s="84"/>
      <c r="BR1598" s="84"/>
      <c r="BS1598" s="942"/>
      <c r="BT1598" s="942"/>
      <c r="BU1598" s="942"/>
      <c r="BV1598" s="84"/>
    </row>
    <row r="1599" spans="14:74" ht="14.25">
      <c r="N1599" s="84"/>
      <c r="O1599" s="84"/>
      <c r="P1599" s="84"/>
      <c r="Q1599" s="84"/>
      <c r="R1599" s="84"/>
      <c r="S1599" s="84"/>
      <c r="T1599" s="84"/>
      <c r="U1599" s="84"/>
      <c r="V1599" s="84"/>
      <c r="W1599" s="84"/>
      <c r="Y1599" s="84"/>
      <c r="Z1599" s="84"/>
      <c r="AA1599" s="84"/>
      <c r="AB1599" s="84"/>
      <c r="AC1599" s="84"/>
      <c r="AD1599" s="84"/>
      <c r="AE1599" s="84"/>
      <c r="AF1599" s="84"/>
      <c r="AG1599" s="84"/>
      <c r="AH1599" s="84"/>
      <c r="AI1599" s="84"/>
      <c r="AL1599" s="84"/>
      <c r="AM1599" s="84"/>
      <c r="AN1599" s="84"/>
      <c r="AO1599" s="84"/>
      <c r="AP1599" s="84"/>
      <c r="AQ1599" s="84"/>
      <c r="AR1599" s="84"/>
      <c r="AS1599" s="84"/>
      <c r="AT1599" s="84"/>
      <c r="AU1599" s="84"/>
      <c r="AV1599" s="84"/>
      <c r="AY1599" s="84"/>
      <c r="AZ1599" s="84"/>
      <c r="BA1599" s="84"/>
      <c r="BB1599" s="84"/>
      <c r="BC1599" s="84"/>
      <c r="BD1599" s="84"/>
      <c r="BE1599" s="84"/>
      <c r="BF1599" s="942"/>
      <c r="BG1599" s="942"/>
      <c r="BH1599" s="942"/>
      <c r="BI1599" s="84"/>
      <c r="BL1599" s="84"/>
      <c r="BM1599" s="84"/>
      <c r="BN1599" s="84"/>
      <c r="BO1599" s="84"/>
      <c r="BP1599" s="84"/>
      <c r="BQ1599" s="84"/>
      <c r="BR1599" s="84"/>
      <c r="BS1599" s="942"/>
      <c r="BT1599" s="942"/>
      <c r="BU1599" s="942"/>
      <c r="BV1599" s="84"/>
    </row>
    <row r="1600" spans="14:74" ht="14.25">
      <c r="N1600" s="84"/>
      <c r="O1600" s="84"/>
      <c r="P1600" s="84"/>
      <c r="Q1600" s="84"/>
      <c r="R1600" s="84"/>
      <c r="S1600" s="84"/>
      <c r="T1600" s="84"/>
      <c r="U1600" s="84"/>
      <c r="V1600" s="84"/>
      <c r="W1600" s="84"/>
      <c r="Y1600" s="84"/>
      <c r="Z1600" s="84"/>
      <c r="AA1600" s="84"/>
      <c r="AB1600" s="84"/>
      <c r="AC1600" s="84"/>
      <c r="AD1600" s="84"/>
      <c r="AE1600" s="84"/>
      <c r="AF1600" s="84"/>
      <c r="AG1600" s="84"/>
      <c r="AH1600" s="84"/>
      <c r="AI1600" s="84"/>
      <c r="AL1600" s="84"/>
      <c r="AM1600" s="84"/>
      <c r="AN1600" s="84"/>
      <c r="AO1600" s="84"/>
      <c r="AP1600" s="84"/>
      <c r="AQ1600" s="84"/>
      <c r="AR1600" s="84"/>
      <c r="AS1600" s="84"/>
      <c r="AT1600" s="84"/>
      <c r="AU1600" s="84"/>
      <c r="AV1600" s="84"/>
      <c r="AY1600" s="84"/>
      <c r="AZ1600" s="84"/>
      <c r="BA1600" s="84"/>
      <c r="BB1600" s="84"/>
      <c r="BC1600" s="84"/>
      <c r="BD1600" s="84"/>
      <c r="BE1600" s="84"/>
      <c r="BF1600" s="942"/>
      <c r="BG1600" s="942"/>
      <c r="BH1600" s="942"/>
      <c r="BI1600" s="84"/>
      <c r="BL1600" s="84"/>
      <c r="BM1600" s="84"/>
      <c r="BN1600" s="84"/>
      <c r="BO1600" s="84"/>
      <c r="BP1600" s="84"/>
      <c r="BQ1600" s="84"/>
      <c r="BR1600" s="84"/>
      <c r="BS1600" s="942"/>
      <c r="BT1600" s="942"/>
      <c r="BU1600" s="942"/>
      <c r="BV1600" s="84"/>
    </row>
    <row r="1601" spans="14:74" ht="14.25">
      <c r="N1601" s="84"/>
      <c r="O1601" s="84"/>
      <c r="P1601" s="84"/>
      <c r="Q1601" s="84"/>
      <c r="R1601" s="84"/>
      <c r="S1601" s="84"/>
      <c r="T1601" s="84"/>
      <c r="U1601" s="84"/>
      <c r="V1601" s="84"/>
      <c r="W1601" s="84"/>
      <c r="Y1601" s="84"/>
      <c r="Z1601" s="84"/>
      <c r="AA1601" s="84"/>
      <c r="AB1601" s="84"/>
      <c r="AC1601" s="84"/>
      <c r="AD1601" s="84"/>
      <c r="AE1601" s="84"/>
      <c r="AF1601" s="84"/>
      <c r="AG1601" s="84"/>
      <c r="AH1601" s="84"/>
      <c r="AI1601" s="84"/>
      <c r="AL1601" s="84"/>
      <c r="AM1601" s="84"/>
      <c r="AN1601" s="84"/>
      <c r="AO1601" s="84"/>
      <c r="AP1601" s="84"/>
      <c r="AQ1601" s="84"/>
      <c r="AR1601" s="84"/>
      <c r="AS1601" s="84"/>
      <c r="AT1601" s="84"/>
      <c r="AU1601" s="84"/>
      <c r="AV1601" s="84"/>
      <c r="AY1601" s="84"/>
      <c r="AZ1601" s="84"/>
      <c r="BA1601" s="84"/>
      <c r="BB1601" s="84"/>
      <c r="BC1601" s="84"/>
      <c r="BD1601" s="84"/>
      <c r="BE1601" s="84"/>
      <c r="BF1601" s="942"/>
      <c r="BG1601" s="942"/>
      <c r="BH1601" s="942"/>
      <c r="BI1601" s="84"/>
      <c r="BL1601" s="84"/>
      <c r="BM1601" s="84"/>
      <c r="BN1601" s="84"/>
      <c r="BO1601" s="84"/>
      <c r="BP1601" s="84"/>
      <c r="BQ1601" s="84"/>
      <c r="BR1601" s="84"/>
      <c r="BS1601" s="942"/>
      <c r="BT1601" s="942"/>
      <c r="BU1601" s="942"/>
      <c r="BV1601" s="84"/>
    </row>
    <row r="1602" spans="14:74" ht="14.25">
      <c r="N1602" s="84"/>
      <c r="O1602" s="84"/>
      <c r="P1602" s="84"/>
      <c r="Q1602" s="84"/>
      <c r="R1602" s="84"/>
      <c r="S1602" s="84"/>
      <c r="T1602" s="84"/>
      <c r="U1602" s="84"/>
      <c r="V1602" s="84"/>
      <c r="W1602" s="84"/>
      <c r="Y1602" s="84"/>
      <c r="Z1602" s="84"/>
      <c r="AA1602" s="84"/>
      <c r="AB1602" s="84"/>
      <c r="AC1602" s="84"/>
      <c r="AD1602" s="84"/>
      <c r="AE1602" s="84"/>
      <c r="AF1602" s="84"/>
      <c r="AG1602" s="84"/>
      <c r="AH1602" s="84"/>
      <c r="AI1602" s="84"/>
      <c r="AL1602" s="84"/>
      <c r="AM1602" s="84"/>
      <c r="AN1602" s="84"/>
      <c r="AO1602" s="84"/>
      <c r="AP1602" s="84"/>
      <c r="AQ1602" s="84"/>
      <c r="AR1602" s="84"/>
      <c r="AS1602" s="84"/>
      <c r="AT1602" s="84"/>
      <c r="AU1602" s="84"/>
      <c r="AV1602" s="84"/>
      <c r="AY1602" s="84"/>
      <c r="AZ1602" s="84"/>
      <c r="BA1602" s="84"/>
      <c r="BB1602" s="84"/>
      <c r="BC1602" s="84"/>
      <c r="BD1602" s="84"/>
      <c r="BE1602" s="84"/>
      <c r="BF1602" s="942"/>
      <c r="BG1602" s="942"/>
      <c r="BH1602" s="942"/>
      <c r="BI1602" s="84"/>
      <c r="BL1602" s="84"/>
      <c r="BM1602" s="84"/>
      <c r="BN1602" s="84"/>
      <c r="BO1602" s="84"/>
      <c r="BP1602" s="84"/>
      <c r="BQ1602" s="84"/>
      <c r="BR1602" s="84"/>
      <c r="BS1602" s="942"/>
      <c r="BT1602" s="942"/>
      <c r="BU1602" s="942"/>
      <c r="BV1602" s="84"/>
    </row>
    <row r="1603" spans="14:74" ht="14.25">
      <c r="N1603" s="84"/>
      <c r="O1603" s="84"/>
      <c r="P1603" s="84"/>
      <c r="Q1603" s="84"/>
      <c r="R1603" s="84"/>
      <c r="S1603" s="84"/>
      <c r="T1603" s="84"/>
      <c r="U1603" s="84"/>
      <c r="V1603" s="84"/>
      <c r="W1603" s="84"/>
      <c r="Y1603" s="84"/>
      <c r="Z1603" s="84"/>
      <c r="AA1603" s="84"/>
      <c r="AB1603" s="84"/>
      <c r="AC1603" s="84"/>
      <c r="AD1603" s="84"/>
      <c r="AE1603" s="84"/>
      <c r="AF1603" s="84"/>
      <c r="AG1603" s="84"/>
      <c r="AH1603" s="84"/>
      <c r="AI1603" s="84"/>
      <c r="AL1603" s="84"/>
      <c r="AM1603" s="84"/>
      <c r="AN1603" s="84"/>
      <c r="AO1603" s="84"/>
      <c r="AP1603" s="84"/>
      <c r="AQ1603" s="84"/>
      <c r="AR1603" s="84"/>
      <c r="AS1603" s="84"/>
      <c r="AT1603" s="84"/>
      <c r="AU1603" s="84"/>
      <c r="AV1603" s="84"/>
      <c r="AY1603" s="84"/>
      <c r="AZ1603" s="84"/>
      <c r="BA1603" s="84"/>
      <c r="BB1603" s="84"/>
      <c r="BC1603" s="84"/>
      <c r="BD1603" s="84"/>
      <c r="BE1603" s="84"/>
      <c r="BF1603" s="942"/>
      <c r="BG1603" s="942"/>
      <c r="BH1603" s="942"/>
      <c r="BI1603" s="84"/>
      <c r="BL1603" s="84"/>
      <c r="BM1603" s="84"/>
      <c r="BN1603" s="84"/>
      <c r="BO1603" s="84"/>
      <c r="BP1603" s="84"/>
      <c r="BQ1603" s="84"/>
      <c r="BR1603" s="84"/>
      <c r="BS1603" s="942"/>
      <c r="BT1603" s="942"/>
      <c r="BU1603" s="942"/>
      <c r="BV1603" s="84"/>
    </row>
    <row r="1604" spans="14:74" ht="14.25">
      <c r="N1604" s="84"/>
      <c r="O1604" s="84"/>
      <c r="P1604" s="84"/>
      <c r="Q1604" s="84"/>
      <c r="R1604" s="84"/>
      <c r="S1604" s="84"/>
      <c r="T1604" s="84"/>
      <c r="U1604" s="84"/>
      <c r="V1604" s="84"/>
      <c r="W1604" s="84"/>
      <c r="Y1604" s="84"/>
      <c r="Z1604" s="84"/>
      <c r="AA1604" s="84"/>
      <c r="AB1604" s="84"/>
      <c r="AC1604" s="84"/>
      <c r="AD1604" s="84"/>
      <c r="AE1604" s="84"/>
      <c r="AF1604" s="84"/>
      <c r="AG1604" s="84"/>
      <c r="AH1604" s="84"/>
      <c r="AI1604" s="84"/>
      <c r="AL1604" s="84"/>
      <c r="AM1604" s="84"/>
      <c r="AN1604" s="84"/>
      <c r="AO1604" s="84"/>
      <c r="AP1604" s="84"/>
      <c r="AQ1604" s="84"/>
      <c r="AR1604" s="84"/>
      <c r="AS1604" s="84"/>
      <c r="AT1604" s="84"/>
      <c r="AU1604" s="84"/>
      <c r="AV1604" s="84"/>
      <c r="AY1604" s="84"/>
      <c r="AZ1604" s="84"/>
      <c r="BA1604" s="84"/>
      <c r="BB1604" s="84"/>
      <c r="BC1604" s="84"/>
      <c r="BD1604" s="84"/>
      <c r="BE1604" s="84"/>
      <c r="BF1604" s="942"/>
      <c r="BG1604" s="942"/>
      <c r="BH1604" s="942"/>
      <c r="BI1604" s="84"/>
      <c r="BL1604" s="84"/>
      <c r="BM1604" s="84"/>
      <c r="BN1604" s="84"/>
      <c r="BO1604" s="84"/>
      <c r="BP1604" s="84"/>
      <c r="BQ1604" s="84"/>
      <c r="BR1604" s="84"/>
      <c r="BS1604" s="942"/>
      <c r="BT1604" s="942"/>
      <c r="BU1604" s="942"/>
      <c r="BV1604" s="84"/>
    </row>
    <row r="1605" spans="14:74" ht="14.25">
      <c r="N1605" s="84"/>
      <c r="O1605" s="84"/>
      <c r="P1605" s="84"/>
      <c r="Q1605" s="84"/>
      <c r="R1605" s="84"/>
      <c r="S1605" s="84"/>
      <c r="T1605" s="84"/>
      <c r="U1605" s="84"/>
      <c r="V1605" s="84"/>
      <c r="W1605" s="84"/>
      <c r="Y1605" s="84"/>
      <c r="Z1605" s="84"/>
      <c r="AA1605" s="84"/>
      <c r="AB1605" s="84"/>
      <c r="AC1605" s="84"/>
      <c r="AD1605" s="84"/>
      <c r="AE1605" s="84"/>
      <c r="AF1605" s="84"/>
      <c r="AG1605" s="84"/>
      <c r="AH1605" s="84"/>
      <c r="AI1605" s="84"/>
      <c r="AL1605" s="84"/>
      <c r="AM1605" s="84"/>
      <c r="AN1605" s="84"/>
      <c r="AO1605" s="84"/>
      <c r="AP1605" s="84"/>
      <c r="AQ1605" s="84"/>
      <c r="AR1605" s="84"/>
      <c r="AS1605" s="84"/>
      <c r="AT1605" s="84"/>
      <c r="AU1605" s="84"/>
      <c r="AV1605" s="84"/>
      <c r="AY1605" s="84"/>
      <c r="AZ1605" s="84"/>
      <c r="BA1605" s="84"/>
      <c r="BB1605" s="84"/>
      <c r="BC1605" s="84"/>
      <c r="BD1605" s="84"/>
      <c r="BE1605" s="84"/>
      <c r="BF1605" s="942"/>
      <c r="BG1605" s="942"/>
      <c r="BH1605" s="942"/>
      <c r="BI1605" s="84"/>
      <c r="BL1605" s="84"/>
      <c r="BM1605" s="84"/>
      <c r="BN1605" s="84"/>
      <c r="BO1605" s="84"/>
      <c r="BP1605" s="84"/>
      <c r="BQ1605" s="84"/>
      <c r="BR1605" s="84"/>
      <c r="BS1605" s="942"/>
      <c r="BT1605" s="942"/>
      <c r="BU1605" s="942"/>
      <c r="BV1605" s="84"/>
    </row>
    <row r="1606" spans="14:74" ht="14.25">
      <c r="N1606" s="84"/>
      <c r="O1606" s="84"/>
      <c r="P1606" s="84"/>
      <c r="Q1606" s="84"/>
      <c r="R1606" s="84"/>
      <c r="S1606" s="84"/>
      <c r="T1606" s="84"/>
      <c r="U1606" s="84"/>
      <c r="V1606" s="84"/>
      <c r="W1606" s="84"/>
      <c r="Y1606" s="84"/>
      <c r="Z1606" s="84"/>
      <c r="AA1606" s="84"/>
      <c r="AB1606" s="84"/>
      <c r="AC1606" s="84"/>
      <c r="AD1606" s="84"/>
      <c r="AE1606" s="84"/>
      <c r="AF1606" s="84"/>
      <c r="AG1606" s="84"/>
      <c r="AH1606" s="84"/>
      <c r="AI1606" s="84"/>
      <c r="AL1606" s="84"/>
      <c r="AM1606" s="84"/>
      <c r="AN1606" s="84"/>
      <c r="AO1606" s="84"/>
      <c r="AP1606" s="84"/>
      <c r="AQ1606" s="84"/>
      <c r="AR1606" s="84"/>
      <c r="AS1606" s="84"/>
      <c r="AT1606" s="84"/>
      <c r="AU1606" s="84"/>
      <c r="AV1606" s="84"/>
      <c r="AY1606" s="84"/>
      <c r="AZ1606" s="84"/>
      <c r="BA1606" s="84"/>
      <c r="BB1606" s="84"/>
      <c r="BC1606" s="84"/>
      <c r="BD1606" s="84"/>
      <c r="BE1606" s="84"/>
      <c r="BF1606" s="942"/>
      <c r="BG1606" s="942"/>
      <c r="BH1606" s="942"/>
      <c r="BI1606" s="84"/>
      <c r="BL1606" s="84"/>
      <c r="BM1606" s="84"/>
      <c r="BN1606" s="84"/>
      <c r="BO1606" s="84"/>
      <c r="BP1606" s="84"/>
      <c r="BQ1606" s="84"/>
      <c r="BR1606" s="84"/>
      <c r="BS1606" s="942"/>
      <c r="BT1606" s="942"/>
      <c r="BU1606" s="942"/>
      <c r="BV1606" s="84"/>
    </row>
    <row r="1607" spans="14:74" ht="14.25">
      <c r="N1607" s="84"/>
      <c r="O1607" s="84"/>
      <c r="P1607" s="84"/>
      <c r="Q1607" s="84"/>
      <c r="R1607" s="84"/>
      <c r="S1607" s="84"/>
      <c r="T1607" s="84"/>
      <c r="U1607" s="84"/>
      <c r="V1607" s="84"/>
      <c r="W1607" s="84"/>
      <c r="Y1607" s="84"/>
      <c r="Z1607" s="84"/>
      <c r="AA1607" s="84"/>
      <c r="AB1607" s="84"/>
      <c r="AC1607" s="84"/>
      <c r="AD1607" s="84"/>
      <c r="AE1607" s="84"/>
      <c r="AF1607" s="84"/>
      <c r="AG1607" s="84"/>
      <c r="AH1607" s="84"/>
      <c r="AI1607" s="84"/>
      <c r="AL1607" s="84"/>
      <c r="AM1607" s="84"/>
      <c r="AN1607" s="84"/>
      <c r="AO1607" s="84"/>
      <c r="AP1607" s="84"/>
      <c r="AQ1607" s="84"/>
      <c r="AR1607" s="84"/>
      <c r="AS1607" s="84"/>
      <c r="AT1607" s="84"/>
      <c r="AU1607" s="84"/>
      <c r="AV1607" s="84"/>
      <c r="AY1607" s="84"/>
      <c r="AZ1607" s="84"/>
      <c r="BA1607" s="84"/>
      <c r="BB1607" s="84"/>
      <c r="BC1607" s="84"/>
      <c r="BD1607" s="84"/>
      <c r="BE1607" s="84"/>
      <c r="BF1607" s="942"/>
      <c r="BG1607" s="942"/>
      <c r="BH1607" s="942"/>
      <c r="BI1607" s="84"/>
      <c r="BL1607" s="84"/>
      <c r="BM1607" s="84"/>
      <c r="BN1607" s="84"/>
      <c r="BO1607" s="84"/>
      <c r="BP1607" s="84"/>
      <c r="BQ1607" s="84"/>
      <c r="BR1607" s="84"/>
      <c r="BS1607" s="942"/>
      <c r="BT1607" s="942"/>
      <c r="BU1607" s="942"/>
      <c r="BV1607" s="84"/>
    </row>
    <row r="1608" spans="14:74" ht="14.25">
      <c r="N1608" s="84"/>
      <c r="O1608" s="84"/>
      <c r="P1608" s="84"/>
      <c r="Q1608" s="84"/>
      <c r="R1608" s="84"/>
      <c r="S1608" s="84"/>
      <c r="T1608" s="84"/>
      <c r="U1608" s="84"/>
      <c r="V1608" s="84"/>
      <c r="W1608" s="84"/>
      <c r="Y1608" s="84"/>
      <c r="Z1608" s="84"/>
      <c r="AA1608" s="84"/>
      <c r="AB1608" s="84"/>
      <c r="AC1608" s="84"/>
      <c r="AD1608" s="84"/>
      <c r="AE1608" s="84"/>
      <c r="AF1608" s="84"/>
      <c r="AG1608" s="84"/>
      <c r="AH1608" s="84"/>
      <c r="AI1608" s="84"/>
      <c r="AL1608" s="84"/>
      <c r="AM1608" s="84"/>
      <c r="AN1608" s="84"/>
      <c r="AO1608" s="84"/>
      <c r="AP1608" s="84"/>
      <c r="AQ1608" s="84"/>
      <c r="AR1608" s="84"/>
      <c r="AS1608" s="84"/>
      <c r="AT1608" s="84"/>
      <c r="AU1608" s="84"/>
      <c r="AV1608" s="84"/>
      <c r="AY1608" s="84"/>
      <c r="AZ1608" s="84"/>
      <c r="BA1608" s="84"/>
      <c r="BB1608" s="84"/>
      <c r="BC1608" s="84"/>
      <c r="BD1608" s="84"/>
      <c r="BE1608" s="84"/>
      <c r="BF1608" s="942"/>
      <c r="BG1608" s="942"/>
      <c r="BH1608" s="942"/>
      <c r="BI1608" s="84"/>
      <c r="BL1608" s="84"/>
      <c r="BM1608" s="84"/>
      <c r="BN1608" s="84"/>
      <c r="BO1608" s="84"/>
      <c r="BP1608" s="84"/>
      <c r="BQ1608" s="84"/>
      <c r="BR1608" s="84"/>
      <c r="BS1608" s="942"/>
      <c r="BT1608" s="942"/>
      <c r="BU1608" s="942"/>
      <c r="BV1608" s="84"/>
    </row>
    <row r="1609" spans="14:74" ht="14.25">
      <c r="N1609" s="84"/>
      <c r="O1609" s="84"/>
      <c r="P1609" s="84"/>
      <c r="Q1609" s="84"/>
      <c r="R1609" s="84"/>
      <c r="S1609" s="84"/>
      <c r="T1609" s="84"/>
      <c r="U1609" s="84"/>
      <c r="V1609" s="84"/>
      <c r="W1609" s="84"/>
      <c r="Y1609" s="84"/>
      <c r="Z1609" s="84"/>
      <c r="AA1609" s="84"/>
      <c r="AB1609" s="84"/>
      <c r="AC1609" s="84"/>
      <c r="AD1609" s="84"/>
      <c r="AE1609" s="84"/>
      <c r="AF1609" s="84"/>
      <c r="AG1609" s="84"/>
      <c r="AH1609" s="84"/>
      <c r="AI1609" s="84"/>
      <c r="AL1609" s="84"/>
      <c r="AM1609" s="84"/>
      <c r="AN1609" s="84"/>
      <c r="AO1609" s="84"/>
      <c r="AP1609" s="84"/>
      <c r="AQ1609" s="84"/>
      <c r="AR1609" s="84"/>
      <c r="AS1609" s="84"/>
      <c r="AT1609" s="84"/>
      <c r="AU1609" s="84"/>
      <c r="AV1609" s="84"/>
      <c r="AY1609" s="84"/>
      <c r="AZ1609" s="84"/>
      <c r="BA1609" s="84"/>
      <c r="BB1609" s="84"/>
      <c r="BC1609" s="84"/>
      <c r="BD1609" s="84"/>
      <c r="BE1609" s="84"/>
      <c r="BF1609" s="942"/>
      <c r="BG1609" s="942"/>
      <c r="BH1609" s="942"/>
      <c r="BI1609" s="84"/>
      <c r="BL1609" s="84"/>
      <c r="BM1609" s="84"/>
      <c r="BN1609" s="84"/>
      <c r="BO1609" s="84"/>
      <c r="BP1609" s="84"/>
      <c r="BQ1609" s="84"/>
      <c r="BR1609" s="84"/>
      <c r="BS1609" s="942"/>
      <c r="BT1609" s="942"/>
      <c r="BU1609" s="942"/>
      <c r="BV1609" s="84"/>
    </row>
    <row r="1610" spans="14:74" ht="14.25">
      <c r="N1610" s="84"/>
      <c r="O1610" s="84"/>
      <c r="P1610" s="84"/>
      <c r="Q1610" s="84"/>
      <c r="R1610" s="84"/>
      <c r="S1610" s="84"/>
      <c r="T1610" s="84"/>
      <c r="U1610" s="84"/>
      <c r="V1610" s="84"/>
      <c r="W1610" s="84"/>
      <c r="Y1610" s="84"/>
      <c r="Z1610" s="84"/>
      <c r="AA1610" s="84"/>
      <c r="AB1610" s="84"/>
      <c r="AC1610" s="84"/>
      <c r="AD1610" s="84"/>
      <c r="AE1610" s="84"/>
      <c r="AF1610" s="84"/>
      <c r="AG1610" s="84"/>
      <c r="AH1610" s="84"/>
      <c r="AI1610" s="84"/>
      <c r="AL1610" s="84"/>
      <c r="AM1610" s="84"/>
      <c r="AN1610" s="84"/>
      <c r="AO1610" s="84"/>
      <c r="AP1610" s="84"/>
      <c r="AQ1610" s="84"/>
      <c r="AR1610" s="84"/>
      <c r="AS1610" s="84"/>
      <c r="AT1610" s="84"/>
      <c r="AU1610" s="84"/>
      <c r="AV1610" s="84"/>
      <c r="AY1610" s="84"/>
      <c r="AZ1610" s="84"/>
      <c r="BA1610" s="84"/>
      <c r="BB1610" s="84"/>
      <c r="BC1610" s="84"/>
      <c r="BD1610" s="84"/>
      <c r="BE1610" s="84"/>
      <c r="BF1610" s="942"/>
      <c r="BG1610" s="942"/>
      <c r="BH1610" s="942"/>
      <c r="BI1610" s="84"/>
      <c r="BL1610" s="84"/>
      <c r="BM1610" s="84"/>
      <c r="BN1610" s="84"/>
      <c r="BO1610" s="84"/>
      <c r="BP1610" s="84"/>
      <c r="BQ1610" s="84"/>
      <c r="BR1610" s="84"/>
      <c r="BS1610" s="942"/>
      <c r="BT1610" s="942"/>
      <c r="BU1610" s="942"/>
      <c r="BV1610" s="84"/>
    </row>
    <row r="1611" spans="14:74" ht="14.25">
      <c r="N1611" s="84"/>
      <c r="O1611" s="84"/>
      <c r="P1611" s="84"/>
      <c r="Q1611" s="84"/>
      <c r="R1611" s="84"/>
      <c r="S1611" s="84"/>
      <c r="T1611" s="84"/>
      <c r="U1611" s="84"/>
      <c r="V1611" s="84"/>
      <c r="W1611" s="84"/>
      <c r="Y1611" s="84"/>
      <c r="Z1611" s="84"/>
      <c r="AA1611" s="84"/>
      <c r="AB1611" s="84"/>
      <c r="AC1611" s="84"/>
      <c r="AD1611" s="84"/>
      <c r="AE1611" s="84"/>
      <c r="AF1611" s="84"/>
      <c r="AG1611" s="84"/>
      <c r="AH1611" s="84"/>
      <c r="AI1611" s="84"/>
      <c r="AL1611" s="84"/>
      <c r="AM1611" s="84"/>
      <c r="AN1611" s="84"/>
      <c r="AO1611" s="84"/>
      <c r="AP1611" s="84"/>
      <c r="AQ1611" s="84"/>
      <c r="AR1611" s="84"/>
      <c r="AS1611" s="84"/>
      <c r="AT1611" s="84"/>
      <c r="AU1611" s="84"/>
      <c r="AV1611" s="84"/>
      <c r="AY1611" s="84"/>
      <c r="AZ1611" s="84"/>
      <c r="BA1611" s="84"/>
      <c r="BB1611" s="84"/>
      <c r="BC1611" s="84"/>
      <c r="BD1611" s="84"/>
      <c r="BE1611" s="84"/>
      <c r="BF1611" s="942"/>
      <c r="BG1611" s="942"/>
      <c r="BH1611" s="942"/>
      <c r="BI1611" s="84"/>
      <c r="BL1611" s="84"/>
      <c r="BM1611" s="84"/>
      <c r="BN1611" s="84"/>
      <c r="BO1611" s="84"/>
      <c r="BP1611" s="84"/>
      <c r="BQ1611" s="84"/>
      <c r="BR1611" s="84"/>
      <c r="BS1611" s="942"/>
      <c r="BT1611" s="942"/>
      <c r="BU1611" s="942"/>
      <c r="BV1611" s="84"/>
    </row>
    <row r="1612" spans="14:74" ht="14.25">
      <c r="N1612" s="84"/>
      <c r="O1612" s="84"/>
      <c r="P1612" s="84"/>
      <c r="Q1612" s="84"/>
      <c r="R1612" s="84"/>
      <c r="S1612" s="84"/>
      <c r="T1612" s="84"/>
      <c r="U1612" s="84"/>
      <c r="V1612" s="84"/>
      <c r="W1612" s="84"/>
      <c r="Y1612" s="84"/>
      <c r="Z1612" s="84"/>
      <c r="AA1612" s="84"/>
      <c r="AB1612" s="84"/>
      <c r="AC1612" s="84"/>
      <c r="AD1612" s="84"/>
      <c r="AE1612" s="84"/>
      <c r="AF1612" s="84"/>
      <c r="AG1612" s="84"/>
      <c r="AH1612" s="84"/>
      <c r="AI1612" s="84"/>
      <c r="AL1612" s="84"/>
      <c r="AM1612" s="84"/>
      <c r="AN1612" s="84"/>
      <c r="AO1612" s="84"/>
      <c r="AP1612" s="84"/>
      <c r="AQ1612" s="84"/>
      <c r="AR1612" s="84"/>
      <c r="AS1612" s="84"/>
      <c r="AT1612" s="84"/>
      <c r="AU1612" s="84"/>
      <c r="AV1612" s="84"/>
      <c r="AY1612" s="84"/>
      <c r="AZ1612" s="84"/>
      <c r="BA1612" s="84"/>
      <c r="BB1612" s="84"/>
      <c r="BC1612" s="84"/>
      <c r="BD1612" s="84"/>
      <c r="BE1612" s="84"/>
      <c r="BF1612" s="942"/>
      <c r="BG1612" s="942"/>
      <c r="BH1612" s="942"/>
      <c r="BI1612" s="84"/>
      <c r="BL1612" s="84"/>
      <c r="BM1612" s="84"/>
      <c r="BN1612" s="84"/>
      <c r="BO1612" s="84"/>
      <c r="BP1612" s="84"/>
      <c r="BQ1612" s="84"/>
      <c r="BR1612" s="84"/>
      <c r="BS1612" s="942"/>
      <c r="BT1612" s="942"/>
      <c r="BU1612" s="942"/>
      <c r="BV1612" s="84"/>
    </row>
    <row r="1613" spans="14:74" ht="14.25">
      <c r="N1613" s="84"/>
      <c r="O1613" s="84"/>
      <c r="P1613" s="84"/>
      <c r="Q1613" s="84"/>
      <c r="R1613" s="84"/>
      <c r="S1613" s="84"/>
      <c r="T1613" s="84"/>
      <c r="U1613" s="84"/>
      <c r="V1613" s="84"/>
      <c r="W1613" s="84"/>
      <c r="Y1613" s="84"/>
      <c r="Z1613" s="84"/>
      <c r="AA1613" s="84"/>
      <c r="AB1613" s="84"/>
      <c r="AC1613" s="84"/>
      <c r="AD1613" s="84"/>
      <c r="AE1613" s="84"/>
      <c r="AF1613" s="84"/>
      <c r="AG1613" s="84"/>
      <c r="AH1613" s="84"/>
      <c r="AI1613" s="84"/>
      <c r="AL1613" s="84"/>
      <c r="AM1613" s="84"/>
      <c r="AN1613" s="84"/>
      <c r="AO1613" s="84"/>
      <c r="AP1613" s="84"/>
      <c r="AQ1613" s="84"/>
      <c r="AR1613" s="84"/>
      <c r="AS1613" s="84"/>
      <c r="AT1613" s="84"/>
      <c r="AU1613" s="84"/>
      <c r="AV1613" s="84"/>
      <c r="AY1613" s="84"/>
      <c r="AZ1613" s="84"/>
      <c r="BA1613" s="84"/>
      <c r="BB1613" s="84"/>
      <c r="BC1613" s="84"/>
      <c r="BD1613" s="84"/>
      <c r="BE1613" s="84"/>
      <c r="BF1613" s="942"/>
      <c r="BG1613" s="942"/>
      <c r="BH1613" s="942"/>
      <c r="BI1613" s="84"/>
      <c r="BL1613" s="84"/>
      <c r="BM1613" s="84"/>
      <c r="BN1613" s="84"/>
      <c r="BO1613" s="84"/>
      <c r="BP1613" s="84"/>
      <c r="BQ1613" s="84"/>
      <c r="BR1613" s="84"/>
      <c r="BS1613" s="942"/>
      <c r="BT1613" s="942"/>
      <c r="BU1613" s="942"/>
      <c r="BV1613" s="84"/>
    </row>
    <row r="1614" spans="14:74" ht="14.25">
      <c r="N1614" s="84"/>
      <c r="O1614" s="84"/>
      <c r="P1614" s="84"/>
      <c r="Q1614" s="84"/>
      <c r="R1614" s="84"/>
      <c r="S1614" s="84"/>
      <c r="T1614" s="84"/>
      <c r="U1614" s="84"/>
      <c r="V1614" s="84"/>
      <c r="W1614" s="84"/>
      <c r="Y1614" s="84"/>
      <c r="Z1614" s="84"/>
      <c r="AA1614" s="84"/>
      <c r="AB1614" s="84"/>
      <c r="AC1614" s="84"/>
      <c r="AD1614" s="84"/>
      <c r="AE1614" s="84"/>
      <c r="AF1614" s="84"/>
      <c r="AG1614" s="84"/>
      <c r="AH1614" s="84"/>
      <c r="AI1614" s="84"/>
      <c r="AL1614" s="84"/>
      <c r="AM1614" s="84"/>
      <c r="AN1614" s="84"/>
      <c r="AO1614" s="84"/>
      <c r="AP1614" s="84"/>
      <c r="AQ1614" s="84"/>
      <c r="AR1614" s="84"/>
      <c r="AS1614" s="84"/>
      <c r="AT1614" s="84"/>
      <c r="AU1614" s="84"/>
      <c r="AV1614" s="84"/>
      <c r="AY1614" s="84"/>
      <c r="AZ1614" s="84"/>
      <c r="BA1614" s="84"/>
      <c r="BB1614" s="84"/>
      <c r="BC1614" s="84"/>
      <c r="BD1614" s="84"/>
      <c r="BE1614" s="84"/>
      <c r="BF1614" s="942"/>
      <c r="BG1614" s="942"/>
      <c r="BH1614" s="942"/>
      <c r="BI1614" s="84"/>
      <c r="BL1614" s="84"/>
      <c r="BM1614" s="84"/>
      <c r="BN1614" s="84"/>
      <c r="BO1614" s="84"/>
      <c r="BP1614" s="84"/>
      <c r="BQ1614" s="84"/>
      <c r="BR1614" s="84"/>
      <c r="BS1614" s="942"/>
      <c r="BT1614" s="942"/>
      <c r="BU1614" s="942"/>
      <c r="BV1614" s="84"/>
    </row>
    <row r="1615" spans="14:74" ht="14.25">
      <c r="N1615" s="84"/>
      <c r="O1615" s="84"/>
      <c r="P1615" s="84"/>
      <c r="Q1615" s="84"/>
      <c r="R1615" s="84"/>
      <c r="S1615" s="84"/>
      <c r="T1615" s="84"/>
      <c r="U1615" s="84"/>
      <c r="V1615" s="84"/>
      <c r="W1615" s="84"/>
      <c r="Y1615" s="84"/>
      <c r="Z1615" s="84"/>
      <c r="AA1615" s="84"/>
      <c r="AB1615" s="84"/>
      <c r="AC1615" s="84"/>
      <c r="AD1615" s="84"/>
      <c r="AE1615" s="84"/>
      <c r="AF1615" s="84"/>
      <c r="AG1615" s="84"/>
      <c r="AH1615" s="84"/>
      <c r="AI1615" s="84"/>
      <c r="AL1615" s="84"/>
      <c r="AM1615" s="84"/>
      <c r="AN1615" s="84"/>
      <c r="AO1615" s="84"/>
      <c r="AP1615" s="84"/>
      <c r="AQ1615" s="84"/>
      <c r="AR1615" s="84"/>
      <c r="AS1615" s="84"/>
      <c r="AT1615" s="84"/>
      <c r="AU1615" s="84"/>
      <c r="AV1615" s="84"/>
      <c r="AY1615" s="84"/>
      <c r="AZ1615" s="84"/>
      <c r="BA1615" s="84"/>
      <c r="BB1615" s="84"/>
      <c r="BC1615" s="84"/>
      <c r="BD1615" s="84"/>
      <c r="BE1615" s="84"/>
      <c r="BF1615" s="942"/>
      <c r="BG1615" s="942"/>
      <c r="BH1615" s="942"/>
      <c r="BI1615" s="84"/>
      <c r="BL1615" s="84"/>
      <c r="BM1615" s="84"/>
      <c r="BN1615" s="84"/>
      <c r="BO1615" s="84"/>
      <c r="BP1615" s="84"/>
      <c r="BQ1615" s="84"/>
      <c r="BR1615" s="84"/>
      <c r="BS1615" s="942"/>
      <c r="BT1615" s="942"/>
      <c r="BU1615" s="942"/>
      <c r="BV1615" s="84"/>
    </row>
    <row r="1616" spans="14:74" ht="14.25">
      <c r="N1616" s="84"/>
      <c r="O1616" s="84"/>
      <c r="P1616" s="84"/>
      <c r="Q1616" s="84"/>
      <c r="R1616" s="84"/>
      <c r="S1616" s="84"/>
      <c r="T1616" s="84"/>
      <c r="U1616" s="84"/>
      <c r="V1616" s="84"/>
      <c r="W1616" s="84"/>
      <c r="Y1616" s="84"/>
      <c r="Z1616" s="84"/>
      <c r="AA1616" s="84"/>
      <c r="AB1616" s="84"/>
      <c r="AC1616" s="84"/>
      <c r="AD1616" s="84"/>
      <c r="AE1616" s="84"/>
      <c r="AF1616" s="84"/>
      <c r="AG1616" s="84"/>
      <c r="AH1616" s="84"/>
      <c r="AI1616" s="84"/>
      <c r="AL1616" s="84"/>
      <c r="AM1616" s="84"/>
      <c r="AN1616" s="84"/>
      <c r="AO1616" s="84"/>
      <c r="AP1616" s="84"/>
      <c r="AQ1616" s="84"/>
      <c r="AR1616" s="84"/>
      <c r="AS1616" s="84"/>
      <c r="AT1616" s="84"/>
      <c r="AU1616" s="84"/>
      <c r="AV1616" s="84"/>
      <c r="AY1616" s="84"/>
      <c r="AZ1616" s="84"/>
      <c r="BA1616" s="84"/>
      <c r="BB1616" s="84"/>
      <c r="BC1616" s="84"/>
      <c r="BD1616" s="84"/>
      <c r="BE1616" s="84"/>
      <c r="BF1616" s="942"/>
      <c r="BG1616" s="942"/>
      <c r="BH1616" s="942"/>
      <c r="BI1616" s="84"/>
      <c r="BL1616" s="84"/>
      <c r="BM1616" s="84"/>
      <c r="BN1616" s="84"/>
      <c r="BO1616" s="84"/>
      <c r="BP1616" s="84"/>
      <c r="BQ1616" s="84"/>
      <c r="BR1616" s="84"/>
      <c r="BS1616" s="942"/>
      <c r="BT1616" s="942"/>
      <c r="BU1616" s="942"/>
      <c r="BV1616" s="84"/>
    </row>
    <row r="1617" spans="14:74" ht="14.25">
      <c r="N1617" s="84"/>
      <c r="O1617" s="84"/>
      <c r="P1617" s="84"/>
      <c r="Q1617" s="84"/>
      <c r="R1617" s="84"/>
      <c r="S1617" s="84"/>
      <c r="T1617" s="84"/>
      <c r="U1617" s="84"/>
      <c r="V1617" s="84"/>
      <c r="W1617" s="84"/>
      <c r="Y1617" s="84"/>
      <c r="Z1617" s="84"/>
      <c r="AA1617" s="84"/>
      <c r="AB1617" s="84"/>
      <c r="AC1617" s="84"/>
      <c r="AD1617" s="84"/>
      <c r="AE1617" s="84"/>
      <c r="AF1617" s="84"/>
      <c r="AG1617" s="84"/>
      <c r="AH1617" s="84"/>
      <c r="AI1617" s="84"/>
      <c r="AL1617" s="84"/>
      <c r="AM1617" s="84"/>
      <c r="AN1617" s="84"/>
      <c r="AO1617" s="84"/>
      <c r="AP1617" s="84"/>
      <c r="AQ1617" s="84"/>
      <c r="AR1617" s="84"/>
      <c r="AS1617" s="84"/>
      <c r="AT1617" s="84"/>
      <c r="AU1617" s="84"/>
      <c r="AV1617" s="84"/>
      <c r="AY1617" s="84"/>
      <c r="AZ1617" s="84"/>
      <c r="BA1617" s="84"/>
      <c r="BB1617" s="84"/>
      <c r="BC1617" s="84"/>
      <c r="BD1617" s="84"/>
      <c r="BE1617" s="84"/>
      <c r="BF1617" s="942"/>
      <c r="BG1617" s="942"/>
      <c r="BH1617" s="942"/>
      <c r="BI1617" s="84"/>
      <c r="BL1617" s="84"/>
      <c r="BM1617" s="84"/>
      <c r="BN1617" s="84"/>
      <c r="BO1617" s="84"/>
      <c r="BP1617" s="84"/>
      <c r="BQ1617" s="84"/>
      <c r="BR1617" s="84"/>
      <c r="BS1617" s="942"/>
      <c r="BT1617" s="942"/>
      <c r="BU1617" s="942"/>
      <c r="BV1617" s="84"/>
    </row>
    <row r="1618" spans="14:74" ht="14.25">
      <c r="N1618" s="84"/>
      <c r="O1618" s="84"/>
      <c r="P1618" s="84"/>
      <c r="Q1618" s="84"/>
      <c r="R1618" s="84"/>
      <c r="S1618" s="84"/>
      <c r="T1618" s="84"/>
      <c r="U1618" s="84"/>
      <c r="V1618" s="84"/>
      <c r="W1618" s="84"/>
      <c r="Y1618" s="84"/>
      <c r="Z1618" s="84"/>
      <c r="AA1618" s="84"/>
      <c r="AB1618" s="84"/>
      <c r="AC1618" s="84"/>
      <c r="AD1618" s="84"/>
      <c r="AE1618" s="84"/>
      <c r="AF1618" s="84"/>
      <c r="AG1618" s="84"/>
      <c r="AH1618" s="84"/>
      <c r="AI1618" s="84"/>
      <c r="AL1618" s="84"/>
      <c r="AM1618" s="84"/>
      <c r="AN1618" s="84"/>
      <c r="AO1618" s="84"/>
      <c r="AP1618" s="84"/>
      <c r="AQ1618" s="84"/>
      <c r="AR1618" s="84"/>
      <c r="AS1618" s="84"/>
      <c r="AT1618" s="84"/>
      <c r="AU1618" s="84"/>
      <c r="AV1618" s="84"/>
      <c r="AY1618" s="84"/>
      <c r="AZ1618" s="84"/>
      <c r="BA1618" s="84"/>
      <c r="BB1618" s="84"/>
      <c r="BC1618" s="84"/>
      <c r="BD1618" s="84"/>
      <c r="BE1618" s="84"/>
      <c r="BF1618" s="942"/>
      <c r="BG1618" s="942"/>
      <c r="BH1618" s="942"/>
      <c r="BI1618" s="84"/>
      <c r="BL1618" s="84"/>
      <c r="BM1618" s="84"/>
      <c r="BN1618" s="84"/>
      <c r="BO1618" s="84"/>
      <c r="BP1618" s="84"/>
      <c r="BQ1618" s="84"/>
      <c r="BR1618" s="84"/>
      <c r="BS1618" s="942"/>
      <c r="BT1618" s="942"/>
      <c r="BU1618" s="942"/>
      <c r="BV1618" s="84"/>
    </row>
    <row r="1619" spans="14:74" ht="14.25">
      <c r="N1619" s="84"/>
      <c r="O1619" s="84"/>
      <c r="P1619" s="84"/>
      <c r="Q1619" s="84"/>
      <c r="R1619" s="84"/>
      <c r="S1619" s="84"/>
      <c r="T1619" s="84"/>
      <c r="U1619" s="84"/>
      <c r="V1619" s="84"/>
      <c r="W1619" s="84"/>
      <c r="Y1619" s="84"/>
      <c r="Z1619" s="84"/>
      <c r="AA1619" s="84"/>
      <c r="AB1619" s="84"/>
      <c r="AC1619" s="84"/>
      <c r="AD1619" s="84"/>
      <c r="AE1619" s="84"/>
      <c r="AF1619" s="84"/>
      <c r="AG1619" s="84"/>
      <c r="AH1619" s="84"/>
      <c r="AI1619" s="84"/>
      <c r="AL1619" s="84"/>
      <c r="AM1619" s="84"/>
      <c r="AN1619" s="84"/>
      <c r="AO1619" s="84"/>
      <c r="AP1619" s="84"/>
      <c r="AQ1619" s="84"/>
      <c r="AR1619" s="84"/>
      <c r="AS1619" s="84"/>
      <c r="AT1619" s="84"/>
      <c r="AU1619" s="84"/>
      <c r="AV1619" s="84"/>
      <c r="AY1619" s="84"/>
      <c r="AZ1619" s="84"/>
      <c r="BA1619" s="84"/>
      <c r="BB1619" s="84"/>
      <c r="BC1619" s="84"/>
      <c r="BD1619" s="84"/>
      <c r="BE1619" s="84"/>
      <c r="BF1619" s="942"/>
      <c r="BG1619" s="942"/>
      <c r="BH1619" s="942"/>
      <c r="BI1619" s="84"/>
      <c r="BL1619" s="84"/>
      <c r="BM1619" s="84"/>
      <c r="BN1619" s="84"/>
      <c r="BO1619" s="84"/>
      <c r="BP1619" s="84"/>
      <c r="BQ1619" s="84"/>
      <c r="BR1619" s="84"/>
      <c r="BS1619" s="942"/>
      <c r="BT1619" s="942"/>
      <c r="BU1619" s="942"/>
      <c r="BV1619" s="84"/>
    </row>
    <row r="1620" spans="14:74" ht="14.25">
      <c r="N1620" s="84"/>
      <c r="O1620" s="84"/>
      <c r="P1620" s="84"/>
      <c r="Q1620" s="84"/>
      <c r="R1620" s="84"/>
      <c r="S1620" s="84"/>
      <c r="T1620" s="84"/>
      <c r="U1620" s="84"/>
      <c r="V1620" s="84"/>
      <c r="W1620" s="84"/>
      <c r="Y1620" s="84"/>
      <c r="Z1620" s="84"/>
      <c r="AA1620" s="84"/>
      <c r="AB1620" s="84"/>
      <c r="AC1620" s="84"/>
      <c r="AD1620" s="84"/>
      <c r="AE1620" s="84"/>
      <c r="AF1620" s="84"/>
      <c r="AG1620" s="84"/>
      <c r="AH1620" s="84"/>
      <c r="AI1620" s="84"/>
      <c r="AL1620" s="84"/>
      <c r="AM1620" s="84"/>
      <c r="AN1620" s="84"/>
      <c r="AO1620" s="84"/>
      <c r="AP1620" s="84"/>
      <c r="AQ1620" s="84"/>
      <c r="AR1620" s="84"/>
      <c r="AS1620" s="84"/>
      <c r="AT1620" s="84"/>
      <c r="AU1620" s="84"/>
      <c r="AV1620" s="84"/>
      <c r="AY1620" s="84"/>
      <c r="AZ1620" s="84"/>
      <c r="BA1620" s="84"/>
      <c r="BB1620" s="84"/>
      <c r="BC1620" s="84"/>
      <c r="BD1620" s="84"/>
      <c r="BE1620" s="84"/>
      <c r="BF1620" s="942"/>
      <c r="BG1620" s="942"/>
      <c r="BH1620" s="942"/>
      <c r="BI1620" s="84"/>
      <c r="BL1620" s="84"/>
      <c r="BM1620" s="84"/>
      <c r="BN1620" s="84"/>
      <c r="BO1620" s="84"/>
      <c r="BP1620" s="84"/>
      <c r="BQ1620" s="84"/>
      <c r="BR1620" s="84"/>
      <c r="BS1620" s="942"/>
      <c r="BT1620" s="942"/>
      <c r="BU1620" s="942"/>
      <c r="BV1620" s="84"/>
    </row>
    <row r="1621" spans="14:74" ht="14.25">
      <c r="N1621" s="84"/>
      <c r="O1621" s="84"/>
      <c r="P1621" s="84"/>
      <c r="Q1621" s="84"/>
      <c r="R1621" s="84"/>
      <c r="S1621" s="84"/>
      <c r="T1621" s="84"/>
      <c r="U1621" s="84"/>
      <c r="V1621" s="84"/>
      <c r="W1621" s="84"/>
      <c r="Y1621" s="84"/>
      <c r="Z1621" s="84"/>
      <c r="AA1621" s="84"/>
      <c r="AB1621" s="84"/>
      <c r="AC1621" s="84"/>
      <c r="AD1621" s="84"/>
      <c r="AE1621" s="84"/>
      <c r="AF1621" s="84"/>
      <c r="AG1621" s="84"/>
      <c r="AH1621" s="84"/>
      <c r="AI1621" s="84"/>
      <c r="AL1621" s="84"/>
      <c r="AM1621" s="84"/>
      <c r="AN1621" s="84"/>
      <c r="AO1621" s="84"/>
      <c r="AP1621" s="84"/>
      <c r="AQ1621" s="84"/>
      <c r="AR1621" s="84"/>
      <c r="AS1621" s="84"/>
      <c r="AT1621" s="84"/>
      <c r="AU1621" s="84"/>
      <c r="AV1621" s="84"/>
      <c r="AY1621" s="84"/>
      <c r="AZ1621" s="84"/>
      <c r="BA1621" s="84"/>
      <c r="BB1621" s="84"/>
      <c r="BC1621" s="84"/>
      <c r="BD1621" s="84"/>
      <c r="BE1621" s="84"/>
      <c r="BF1621" s="942"/>
      <c r="BG1621" s="942"/>
      <c r="BH1621" s="942"/>
      <c r="BI1621" s="84"/>
      <c r="BL1621" s="84"/>
      <c r="BM1621" s="84"/>
      <c r="BN1621" s="84"/>
      <c r="BO1621" s="84"/>
      <c r="BP1621" s="84"/>
      <c r="BQ1621" s="84"/>
      <c r="BR1621" s="84"/>
      <c r="BS1621" s="942"/>
      <c r="BT1621" s="942"/>
      <c r="BU1621" s="942"/>
      <c r="BV1621" s="84"/>
    </row>
    <row r="1622" spans="14:74" ht="14.25">
      <c r="N1622" s="84"/>
      <c r="O1622" s="84"/>
      <c r="P1622" s="84"/>
      <c r="Q1622" s="84"/>
      <c r="R1622" s="84"/>
      <c r="S1622" s="84"/>
      <c r="T1622" s="84"/>
      <c r="U1622" s="84"/>
      <c r="V1622" s="84"/>
      <c r="W1622" s="84"/>
      <c r="Y1622" s="84"/>
      <c r="Z1622" s="84"/>
      <c r="AA1622" s="84"/>
      <c r="AB1622" s="84"/>
      <c r="AC1622" s="84"/>
      <c r="AD1622" s="84"/>
      <c r="AE1622" s="84"/>
      <c r="AF1622" s="84"/>
      <c r="AG1622" s="84"/>
      <c r="AH1622" s="84"/>
      <c r="AI1622" s="84"/>
      <c r="AL1622" s="84"/>
      <c r="AM1622" s="84"/>
      <c r="AN1622" s="84"/>
      <c r="AO1622" s="84"/>
      <c r="AP1622" s="84"/>
      <c r="AQ1622" s="84"/>
      <c r="AR1622" s="84"/>
      <c r="AS1622" s="84"/>
      <c r="AT1622" s="84"/>
      <c r="AU1622" s="84"/>
      <c r="AV1622" s="84"/>
      <c r="AY1622" s="84"/>
      <c r="AZ1622" s="84"/>
      <c r="BA1622" s="84"/>
      <c r="BB1622" s="84"/>
      <c r="BC1622" s="84"/>
      <c r="BD1622" s="84"/>
      <c r="BE1622" s="84"/>
      <c r="BF1622" s="942"/>
      <c r="BG1622" s="942"/>
      <c r="BH1622" s="942"/>
      <c r="BI1622" s="84"/>
      <c r="BL1622" s="84"/>
      <c r="BM1622" s="84"/>
      <c r="BN1622" s="84"/>
      <c r="BO1622" s="84"/>
      <c r="BP1622" s="84"/>
      <c r="BQ1622" s="84"/>
      <c r="BR1622" s="84"/>
      <c r="BS1622" s="942"/>
      <c r="BT1622" s="942"/>
      <c r="BU1622" s="942"/>
      <c r="BV1622" s="84"/>
    </row>
    <row r="1623" spans="14:74" ht="14.25">
      <c r="N1623" s="84"/>
      <c r="O1623" s="84"/>
      <c r="P1623" s="84"/>
      <c r="Q1623" s="84"/>
      <c r="R1623" s="84"/>
      <c r="S1623" s="84"/>
      <c r="T1623" s="84"/>
      <c r="U1623" s="84"/>
      <c r="V1623" s="84"/>
      <c r="W1623" s="84"/>
      <c r="Y1623" s="84"/>
      <c r="Z1623" s="84"/>
      <c r="AA1623" s="84"/>
      <c r="AB1623" s="84"/>
      <c r="AC1623" s="84"/>
      <c r="AD1623" s="84"/>
      <c r="AE1623" s="84"/>
      <c r="AF1623" s="84"/>
      <c r="AG1623" s="84"/>
      <c r="AH1623" s="84"/>
      <c r="AI1623" s="84"/>
      <c r="AL1623" s="84"/>
      <c r="AM1623" s="84"/>
      <c r="AN1623" s="84"/>
      <c r="AO1623" s="84"/>
      <c r="AP1623" s="84"/>
      <c r="AQ1623" s="84"/>
      <c r="AR1623" s="84"/>
      <c r="AS1623" s="84"/>
      <c r="AT1623" s="84"/>
      <c r="AU1623" s="84"/>
      <c r="AV1623" s="84"/>
      <c r="AY1623" s="84"/>
      <c r="AZ1623" s="84"/>
      <c r="BA1623" s="84"/>
      <c r="BB1623" s="84"/>
      <c r="BC1623" s="84"/>
      <c r="BD1623" s="84"/>
      <c r="BE1623" s="84"/>
      <c r="BF1623" s="942"/>
      <c r="BG1623" s="942"/>
      <c r="BH1623" s="942"/>
      <c r="BI1623" s="84"/>
      <c r="BL1623" s="84"/>
      <c r="BM1623" s="84"/>
      <c r="BN1623" s="84"/>
      <c r="BO1623" s="84"/>
      <c r="BP1623" s="84"/>
      <c r="BQ1623" s="84"/>
      <c r="BR1623" s="84"/>
      <c r="BS1623" s="942"/>
      <c r="BT1623" s="942"/>
      <c r="BU1623" s="942"/>
      <c r="BV1623" s="84"/>
    </row>
    <row r="1624" spans="14:74" ht="14.25">
      <c r="N1624" s="84"/>
      <c r="O1624" s="84"/>
      <c r="P1624" s="84"/>
      <c r="Q1624" s="84"/>
      <c r="R1624" s="84"/>
      <c r="S1624" s="84"/>
      <c r="T1624" s="84"/>
      <c r="U1624" s="84"/>
      <c r="V1624" s="84"/>
      <c r="W1624" s="84"/>
      <c r="Y1624" s="84"/>
      <c r="Z1624" s="84"/>
      <c r="AA1624" s="84"/>
      <c r="AB1624" s="84"/>
      <c r="AC1624" s="84"/>
      <c r="AD1624" s="84"/>
      <c r="AE1624" s="84"/>
      <c r="AF1624" s="84"/>
      <c r="AG1624" s="84"/>
      <c r="AH1624" s="84"/>
      <c r="AI1624" s="84"/>
      <c r="AL1624" s="84"/>
      <c r="AM1624" s="84"/>
      <c r="AN1624" s="84"/>
      <c r="AO1624" s="84"/>
      <c r="AP1624" s="84"/>
      <c r="AQ1624" s="84"/>
      <c r="AR1624" s="84"/>
      <c r="AS1624" s="84"/>
      <c r="AT1624" s="84"/>
      <c r="AU1624" s="84"/>
      <c r="AV1624" s="84"/>
      <c r="AY1624" s="84"/>
      <c r="AZ1624" s="84"/>
      <c r="BA1624" s="84"/>
      <c r="BB1624" s="84"/>
      <c r="BC1624" s="84"/>
      <c r="BD1624" s="84"/>
      <c r="BE1624" s="84"/>
      <c r="BF1624" s="942"/>
      <c r="BG1624" s="942"/>
      <c r="BH1624" s="942"/>
      <c r="BI1624" s="84"/>
      <c r="BL1624" s="84"/>
      <c r="BM1624" s="84"/>
      <c r="BN1624" s="84"/>
      <c r="BO1624" s="84"/>
      <c r="BP1624" s="84"/>
      <c r="BQ1624" s="84"/>
      <c r="BR1624" s="84"/>
      <c r="BS1624" s="942"/>
      <c r="BT1624" s="942"/>
      <c r="BU1624" s="942"/>
      <c r="BV1624" s="84"/>
    </row>
    <row r="1625" spans="14:74" ht="14.25">
      <c r="N1625" s="84"/>
      <c r="O1625" s="84"/>
      <c r="P1625" s="84"/>
      <c r="Q1625" s="84"/>
      <c r="R1625" s="84"/>
      <c r="S1625" s="84"/>
      <c r="T1625" s="84"/>
      <c r="U1625" s="84"/>
      <c r="V1625" s="84"/>
      <c r="W1625" s="84"/>
      <c r="Y1625" s="84"/>
      <c r="Z1625" s="84"/>
      <c r="AA1625" s="84"/>
      <c r="AB1625" s="84"/>
      <c r="AC1625" s="84"/>
      <c r="AD1625" s="84"/>
      <c r="AE1625" s="84"/>
      <c r="AF1625" s="84"/>
      <c r="AG1625" s="84"/>
      <c r="AH1625" s="84"/>
      <c r="AI1625" s="84"/>
      <c r="AL1625" s="84"/>
      <c r="AM1625" s="84"/>
      <c r="AN1625" s="84"/>
      <c r="AO1625" s="84"/>
      <c r="AP1625" s="84"/>
      <c r="AQ1625" s="84"/>
      <c r="AR1625" s="84"/>
      <c r="AS1625" s="84"/>
      <c r="AT1625" s="84"/>
      <c r="AU1625" s="84"/>
      <c r="AV1625" s="84"/>
      <c r="AY1625" s="84"/>
      <c r="AZ1625" s="84"/>
      <c r="BA1625" s="84"/>
      <c r="BB1625" s="84"/>
      <c r="BC1625" s="84"/>
      <c r="BD1625" s="84"/>
      <c r="BE1625" s="84"/>
      <c r="BF1625" s="942"/>
      <c r="BG1625" s="942"/>
      <c r="BH1625" s="942"/>
      <c r="BI1625" s="84"/>
      <c r="BL1625" s="84"/>
      <c r="BM1625" s="84"/>
      <c r="BN1625" s="84"/>
      <c r="BO1625" s="84"/>
      <c r="BP1625" s="84"/>
      <c r="BQ1625" s="84"/>
      <c r="BR1625" s="84"/>
      <c r="BS1625" s="942"/>
      <c r="BT1625" s="942"/>
      <c r="BU1625" s="942"/>
      <c r="BV1625" s="84"/>
    </row>
    <row r="1626" spans="14:74" ht="14.25">
      <c r="N1626" s="84"/>
      <c r="O1626" s="84"/>
      <c r="P1626" s="84"/>
      <c r="Q1626" s="84"/>
      <c r="R1626" s="84"/>
      <c r="S1626" s="84"/>
      <c r="T1626" s="84"/>
      <c r="U1626" s="84"/>
      <c r="V1626" s="84"/>
      <c r="W1626" s="84"/>
      <c r="Y1626" s="84"/>
      <c r="Z1626" s="84"/>
      <c r="AA1626" s="84"/>
      <c r="AB1626" s="84"/>
      <c r="AC1626" s="84"/>
      <c r="AD1626" s="84"/>
      <c r="AE1626" s="84"/>
      <c r="AF1626" s="84"/>
      <c r="AG1626" s="84"/>
      <c r="AH1626" s="84"/>
      <c r="AI1626" s="84"/>
      <c r="AL1626" s="84"/>
      <c r="AM1626" s="84"/>
      <c r="AN1626" s="84"/>
      <c r="AO1626" s="84"/>
      <c r="AP1626" s="84"/>
      <c r="AQ1626" s="84"/>
      <c r="AR1626" s="84"/>
      <c r="AS1626" s="84"/>
      <c r="AT1626" s="84"/>
      <c r="AU1626" s="84"/>
      <c r="AV1626" s="84"/>
      <c r="AY1626" s="84"/>
      <c r="AZ1626" s="84"/>
      <c r="BA1626" s="84"/>
      <c r="BB1626" s="84"/>
      <c r="BC1626" s="84"/>
      <c r="BD1626" s="84"/>
      <c r="BE1626" s="84"/>
      <c r="BF1626" s="942"/>
      <c r="BG1626" s="942"/>
      <c r="BH1626" s="942"/>
      <c r="BI1626" s="84"/>
      <c r="BL1626" s="84"/>
      <c r="BM1626" s="84"/>
      <c r="BN1626" s="84"/>
      <c r="BO1626" s="84"/>
      <c r="BP1626" s="84"/>
      <c r="BQ1626" s="84"/>
      <c r="BR1626" s="84"/>
      <c r="BS1626" s="942"/>
      <c r="BT1626" s="942"/>
      <c r="BU1626" s="942"/>
      <c r="BV1626" s="84"/>
    </row>
    <row r="1627" spans="14:74" ht="14.25">
      <c r="N1627" s="84"/>
      <c r="O1627" s="84"/>
      <c r="P1627" s="84"/>
      <c r="Q1627" s="84"/>
      <c r="R1627" s="84"/>
      <c r="S1627" s="84"/>
      <c r="T1627" s="84"/>
      <c r="U1627" s="84"/>
      <c r="V1627" s="84"/>
      <c r="W1627" s="84"/>
      <c r="Y1627" s="84"/>
      <c r="Z1627" s="84"/>
      <c r="AA1627" s="84"/>
      <c r="AB1627" s="84"/>
      <c r="AC1627" s="84"/>
      <c r="AD1627" s="84"/>
      <c r="AE1627" s="84"/>
      <c r="AF1627" s="84"/>
      <c r="AG1627" s="84"/>
      <c r="AH1627" s="84"/>
      <c r="AI1627" s="84"/>
      <c r="AL1627" s="84"/>
      <c r="AM1627" s="84"/>
      <c r="AN1627" s="84"/>
      <c r="AO1627" s="84"/>
      <c r="AP1627" s="84"/>
      <c r="AQ1627" s="84"/>
      <c r="AR1627" s="84"/>
      <c r="AS1627" s="84"/>
      <c r="AT1627" s="84"/>
      <c r="AU1627" s="84"/>
      <c r="AV1627" s="84"/>
      <c r="AY1627" s="84"/>
      <c r="AZ1627" s="84"/>
      <c r="BA1627" s="84"/>
      <c r="BB1627" s="84"/>
      <c r="BC1627" s="84"/>
      <c r="BD1627" s="84"/>
      <c r="BE1627" s="84"/>
      <c r="BF1627" s="942"/>
      <c r="BG1627" s="942"/>
      <c r="BH1627" s="942"/>
      <c r="BI1627" s="84"/>
      <c r="BL1627" s="84"/>
      <c r="BM1627" s="84"/>
      <c r="BN1627" s="84"/>
      <c r="BO1627" s="84"/>
      <c r="BP1627" s="84"/>
      <c r="BQ1627" s="84"/>
      <c r="BR1627" s="84"/>
      <c r="BS1627" s="942"/>
      <c r="BT1627" s="942"/>
      <c r="BU1627" s="942"/>
      <c r="BV1627" s="84"/>
    </row>
    <row r="1628" spans="14:74" ht="14.25">
      <c r="N1628" s="84"/>
      <c r="O1628" s="84"/>
      <c r="P1628" s="84"/>
      <c r="Q1628" s="84"/>
      <c r="R1628" s="84"/>
      <c r="S1628" s="84"/>
      <c r="T1628" s="84"/>
      <c r="U1628" s="84"/>
      <c r="V1628" s="84"/>
      <c r="W1628" s="84"/>
      <c r="Y1628" s="84"/>
      <c r="Z1628" s="84"/>
      <c r="AA1628" s="84"/>
      <c r="AB1628" s="84"/>
      <c r="AC1628" s="84"/>
      <c r="AD1628" s="84"/>
      <c r="AE1628" s="84"/>
      <c r="AF1628" s="84"/>
      <c r="AG1628" s="84"/>
      <c r="AH1628" s="84"/>
      <c r="AI1628" s="84"/>
      <c r="AL1628" s="84"/>
      <c r="AM1628" s="84"/>
      <c r="AN1628" s="84"/>
      <c r="AO1628" s="84"/>
      <c r="AP1628" s="84"/>
      <c r="AQ1628" s="84"/>
      <c r="AR1628" s="84"/>
      <c r="AS1628" s="84"/>
      <c r="AT1628" s="84"/>
      <c r="AU1628" s="84"/>
      <c r="AV1628" s="84"/>
      <c r="AY1628" s="84"/>
      <c r="AZ1628" s="84"/>
      <c r="BA1628" s="84"/>
      <c r="BB1628" s="84"/>
      <c r="BC1628" s="84"/>
      <c r="BD1628" s="84"/>
      <c r="BE1628" s="84"/>
      <c r="BF1628" s="942"/>
      <c r="BG1628" s="942"/>
      <c r="BH1628" s="942"/>
      <c r="BI1628" s="84"/>
      <c r="BL1628" s="84"/>
      <c r="BM1628" s="84"/>
      <c r="BN1628" s="84"/>
      <c r="BO1628" s="84"/>
      <c r="BP1628" s="84"/>
      <c r="BQ1628" s="84"/>
      <c r="BR1628" s="84"/>
      <c r="BS1628" s="942"/>
      <c r="BT1628" s="942"/>
      <c r="BU1628" s="942"/>
      <c r="BV1628" s="84"/>
    </row>
    <row r="1629" spans="14:74" ht="14.25">
      <c r="N1629" s="84"/>
      <c r="O1629" s="84"/>
      <c r="P1629" s="84"/>
      <c r="Q1629" s="84"/>
      <c r="R1629" s="84"/>
      <c r="S1629" s="84"/>
      <c r="T1629" s="84"/>
      <c r="U1629" s="84"/>
      <c r="V1629" s="84"/>
      <c r="W1629" s="84"/>
      <c r="Y1629" s="84"/>
      <c r="Z1629" s="84"/>
      <c r="AA1629" s="84"/>
      <c r="AB1629" s="84"/>
      <c r="AC1629" s="84"/>
      <c r="AD1629" s="84"/>
      <c r="AE1629" s="84"/>
      <c r="AF1629" s="84"/>
      <c r="AG1629" s="84"/>
      <c r="AH1629" s="84"/>
      <c r="AI1629" s="84"/>
      <c r="AL1629" s="84"/>
      <c r="AM1629" s="84"/>
      <c r="AN1629" s="84"/>
      <c r="AO1629" s="84"/>
      <c r="AP1629" s="84"/>
      <c r="AQ1629" s="84"/>
      <c r="AR1629" s="84"/>
      <c r="AS1629" s="84"/>
      <c r="AT1629" s="84"/>
      <c r="AU1629" s="84"/>
      <c r="AV1629" s="84"/>
      <c r="AY1629" s="84"/>
      <c r="AZ1629" s="84"/>
      <c r="BA1629" s="84"/>
      <c r="BB1629" s="84"/>
      <c r="BC1629" s="84"/>
      <c r="BD1629" s="84"/>
      <c r="BE1629" s="84"/>
      <c r="BF1629" s="942"/>
      <c r="BG1629" s="942"/>
      <c r="BH1629" s="942"/>
      <c r="BI1629" s="84"/>
      <c r="BL1629" s="84"/>
      <c r="BM1629" s="84"/>
      <c r="BN1629" s="84"/>
      <c r="BO1629" s="84"/>
      <c r="BP1629" s="84"/>
      <c r="BQ1629" s="84"/>
      <c r="BR1629" s="84"/>
      <c r="BS1629" s="942"/>
      <c r="BT1629" s="942"/>
      <c r="BU1629" s="942"/>
      <c r="BV1629" s="84"/>
    </row>
    <row r="1630" spans="14:74" ht="14.25">
      <c r="N1630" s="84"/>
      <c r="O1630" s="84"/>
      <c r="P1630" s="84"/>
      <c r="Q1630" s="84"/>
      <c r="R1630" s="84"/>
      <c r="S1630" s="84"/>
      <c r="T1630" s="84"/>
      <c r="U1630" s="84"/>
      <c r="V1630" s="84"/>
      <c r="W1630" s="84"/>
      <c r="Y1630" s="84"/>
      <c r="Z1630" s="84"/>
      <c r="AA1630" s="84"/>
      <c r="AB1630" s="84"/>
      <c r="AC1630" s="84"/>
      <c r="AD1630" s="84"/>
      <c r="AE1630" s="84"/>
      <c r="AF1630" s="84"/>
      <c r="AG1630" s="84"/>
      <c r="AH1630" s="84"/>
      <c r="AI1630" s="84"/>
      <c r="AL1630" s="84"/>
      <c r="AM1630" s="84"/>
      <c r="AN1630" s="84"/>
      <c r="AO1630" s="84"/>
      <c r="AP1630" s="84"/>
      <c r="AQ1630" s="84"/>
      <c r="AR1630" s="84"/>
      <c r="AS1630" s="84"/>
      <c r="AT1630" s="84"/>
      <c r="AU1630" s="84"/>
      <c r="AV1630" s="84"/>
      <c r="AY1630" s="84"/>
      <c r="AZ1630" s="84"/>
      <c r="BA1630" s="84"/>
      <c r="BB1630" s="84"/>
      <c r="BC1630" s="84"/>
      <c r="BD1630" s="84"/>
      <c r="BE1630" s="84"/>
      <c r="BF1630" s="942"/>
      <c r="BG1630" s="942"/>
      <c r="BH1630" s="942"/>
      <c r="BI1630" s="84"/>
      <c r="BL1630" s="84"/>
      <c r="BM1630" s="84"/>
      <c r="BN1630" s="84"/>
      <c r="BO1630" s="84"/>
      <c r="BP1630" s="84"/>
      <c r="BQ1630" s="84"/>
      <c r="BR1630" s="84"/>
      <c r="BS1630" s="942"/>
      <c r="BT1630" s="942"/>
      <c r="BU1630" s="942"/>
      <c r="BV1630" s="84"/>
    </row>
    <row r="1631" spans="14:74" ht="14.25">
      <c r="N1631" s="84"/>
      <c r="O1631" s="84"/>
      <c r="P1631" s="84"/>
      <c r="Q1631" s="84"/>
      <c r="R1631" s="84"/>
      <c r="S1631" s="84"/>
      <c r="T1631" s="84"/>
      <c r="U1631" s="84"/>
      <c r="V1631" s="84"/>
      <c r="W1631" s="84"/>
      <c r="Y1631" s="84"/>
      <c r="Z1631" s="84"/>
      <c r="AA1631" s="84"/>
      <c r="AB1631" s="84"/>
      <c r="AC1631" s="84"/>
      <c r="AD1631" s="84"/>
      <c r="AE1631" s="84"/>
      <c r="AF1631" s="84"/>
      <c r="AG1631" s="84"/>
      <c r="AH1631" s="84"/>
      <c r="AI1631" s="84"/>
      <c r="AL1631" s="84"/>
      <c r="AM1631" s="84"/>
      <c r="AN1631" s="84"/>
      <c r="AO1631" s="84"/>
      <c r="AP1631" s="84"/>
      <c r="AQ1631" s="84"/>
      <c r="AR1631" s="84"/>
      <c r="AS1631" s="84"/>
      <c r="AT1631" s="84"/>
      <c r="AU1631" s="84"/>
      <c r="AV1631" s="84"/>
      <c r="AY1631" s="84"/>
      <c r="AZ1631" s="84"/>
      <c r="BA1631" s="84"/>
      <c r="BB1631" s="84"/>
      <c r="BC1631" s="84"/>
      <c r="BD1631" s="84"/>
      <c r="BE1631" s="84"/>
      <c r="BF1631" s="942"/>
      <c r="BG1631" s="942"/>
      <c r="BH1631" s="942"/>
      <c r="BI1631" s="84"/>
      <c r="BL1631" s="84"/>
      <c r="BM1631" s="84"/>
      <c r="BN1631" s="84"/>
      <c r="BO1631" s="84"/>
      <c r="BP1631" s="84"/>
      <c r="BQ1631" s="84"/>
      <c r="BR1631" s="84"/>
      <c r="BS1631" s="942"/>
      <c r="BT1631" s="942"/>
      <c r="BU1631" s="942"/>
      <c r="BV1631" s="84"/>
    </row>
    <row r="1632" spans="14:74" ht="14.25">
      <c r="N1632" s="84"/>
      <c r="O1632" s="84"/>
      <c r="P1632" s="84"/>
      <c r="Q1632" s="84"/>
      <c r="R1632" s="84"/>
      <c r="S1632" s="84"/>
      <c r="T1632" s="84"/>
      <c r="U1632" s="84"/>
      <c r="V1632" s="84"/>
      <c r="W1632" s="84"/>
      <c r="Y1632" s="84"/>
      <c r="Z1632" s="84"/>
      <c r="AA1632" s="84"/>
      <c r="AB1632" s="84"/>
      <c r="AC1632" s="84"/>
      <c r="AD1632" s="84"/>
      <c r="AE1632" s="84"/>
      <c r="AF1632" s="84"/>
      <c r="AG1632" s="84"/>
      <c r="AH1632" s="84"/>
      <c r="AI1632" s="84"/>
      <c r="AL1632" s="84"/>
      <c r="AM1632" s="84"/>
      <c r="AN1632" s="84"/>
      <c r="AO1632" s="84"/>
      <c r="AP1632" s="84"/>
      <c r="AQ1632" s="84"/>
      <c r="AR1632" s="84"/>
      <c r="AS1632" s="84"/>
      <c r="AT1632" s="84"/>
      <c r="AU1632" s="84"/>
      <c r="AV1632" s="84"/>
      <c r="AY1632" s="84"/>
      <c r="AZ1632" s="84"/>
      <c r="BA1632" s="84"/>
      <c r="BB1632" s="84"/>
      <c r="BC1632" s="84"/>
      <c r="BD1632" s="84"/>
      <c r="BE1632" s="84"/>
      <c r="BF1632" s="942"/>
      <c r="BG1632" s="942"/>
      <c r="BH1632" s="942"/>
      <c r="BI1632" s="84"/>
      <c r="BL1632" s="84"/>
      <c r="BM1632" s="84"/>
      <c r="BN1632" s="84"/>
      <c r="BO1632" s="84"/>
      <c r="BP1632" s="84"/>
      <c r="BQ1632" s="84"/>
      <c r="BR1632" s="84"/>
      <c r="BS1632" s="942"/>
      <c r="BT1632" s="942"/>
      <c r="BU1632" s="942"/>
      <c r="BV1632" s="84"/>
    </row>
    <row r="1633" spans="14:74" ht="14.25">
      <c r="N1633" s="84"/>
      <c r="O1633" s="84"/>
      <c r="P1633" s="84"/>
      <c r="Q1633" s="84"/>
      <c r="R1633" s="84"/>
      <c r="S1633" s="84"/>
      <c r="T1633" s="84"/>
      <c r="U1633" s="84"/>
      <c r="V1633" s="84"/>
      <c r="W1633" s="84"/>
      <c r="Y1633" s="84"/>
      <c r="Z1633" s="84"/>
      <c r="AA1633" s="84"/>
      <c r="AB1633" s="84"/>
      <c r="AC1633" s="84"/>
      <c r="AD1633" s="84"/>
      <c r="AE1633" s="84"/>
      <c r="AF1633" s="84"/>
      <c r="AG1633" s="84"/>
      <c r="AH1633" s="84"/>
      <c r="AI1633" s="84"/>
      <c r="AL1633" s="84"/>
      <c r="AM1633" s="84"/>
      <c r="AN1633" s="84"/>
      <c r="AO1633" s="84"/>
      <c r="AP1633" s="84"/>
      <c r="AQ1633" s="84"/>
      <c r="AR1633" s="84"/>
      <c r="AS1633" s="84"/>
      <c r="AT1633" s="84"/>
      <c r="AU1633" s="84"/>
      <c r="AV1633" s="84"/>
      <c r="AY1633" s="84"/>
      <c r="AZ1633" s="84"/>
      <c r="BA1633" s="84"/>
      <c r="BB1633" s="84"/>
      <c r="BC1633" s="84"/>
      <c r="BD1633" s="84"/>
      <c r="BE1633" s="84"/>
      <c r="BF1633" s="942"/>
      <c r="BG1633" s="942"/>
      <c r="BH1633" s="942"/>
      <c r="BI1633" s="84"/>
      <c r="BL1633" s="84"/>
      <c r="BM1633" s="84"/>
      <c r="BN1633" s="84"/>
      <c r="BO1633" s="84"/>
      <c r="BP1633" s="84"/>
      <c r="BQ1633" s="84"/>
      <c r="BR1633" s="84"/>
      <c r="BS1633" s="942"/>
      <c r="BT1633" s="942"/>
      <c r="BU1633" s="942"/>
      <c r="BV1633" s="84"/>
    </row>
    <row r="1634" spans="14:74" ht="14.25">
      <c r="N1634" s="84"/>
      <c r="O1634" s="84"/>
      <c r="P1634" s="84"/>
      <c r="Q1634" s="84"/>
      <c r="R1634" s="84"/>
      <c r="S1634" s="84"/>
      <c r="T1634" s="84"/>
      <c r="U1634" s="84"/>
      <c r="V1634" s="84"/>
      <c r="W1634" s="84"/>
      <c r="Y1634" s="84"/>
      <c r="Z1634" s="84"/>
      <c r="AA1634" s="84"/>
      <c r="AB1634" s="84"/>
      <c r="AC1634" s="84"/>
      <c r="AD1634" s="84"/>
      <c r="AE1634" s="84"/>
      <c r="AF1634" s="84"/>
      <c r="AG1634" s="84"/>
      <c r="AH1634" s="84"/>
      <c r="AI1634" s="84"/>
      <c r="AL1634" s="84"/>
      <c r="AM1634" s="84"/>
      <c r="AN1634" s="84"/>
      <c r="AO1634" s="84"/>
      <c r="AP1634" s="84"/>
      <c r="AQ1634" s="84"/>
      <c r="AR1634" s="84"/>
      <c r="AS1634" s="84"/>
      <c r="AT1634" s="84"/>
      <c r="AU1634" s="84"/>
      <c r="AV1634" s="84"/>
      <c r="AY1634" s="84"/>
      <c r="AZ1634" s="84"/>
      <c r="BA1634" s="84"/>
      <c r="BB1634" s="84"/>
      <c r="BC1634" s="84"/>
      <c r="BD1634" s="84"/>
      <c r="BE1634" s="84"/>
      <c r="BF1634" s="942"/>
      <c r="BG1634" s="942"/>
      <c r="BH1634" s="942"/>
      <c r="BI1634" s="84"/>
      <c r="BL1634" s="84"/>
      <c r="BM1634" s="84"/>
      <c r="BN1634" s="84"/>
      <c r="BO1634" s="84"/>
      <c r="BP1634" s="84"/>
      <c r="BQ1634" s="84"/>
      <c r="BR1634" s="84"/>
      <c r="BS1634" s="942"/>
      <c r="BT1634" s="942"/>
      <c r="BU1634" s="942"/>
      <c r="BV1634" s="84"/>
    </row>
    <row r="1635" spans="14:74" ht="14.25">
      <c r="N1635" s="84"/>
      <c r="O1635" s="84"/>
      <c r="P1635" s="84"/>
      <c r="Q1635" s="84"/>
      <c r="R1635" s="84"/>
      <c r="S1635" s="84"/>
      <c r="T1635" s="84"/>
      <c r="U1635" s="84"/>
      <c r="V1635" s="84"/>
      <c r="W1635" s="84"/>
      <c r="Y1635" s="84"/>
      <c r="Z1635" s="84"/>
      <c r="AA1635" s="84"/>
      <c r="AB1635" s="84"/>
      <c r="AC1635" s="84"/>
      <c r="AD1635" s="84"/>
      <c r="AE1635" s="84"/>
      <c r="AF1635" s="84"/>
      <c r="AG1635" s="84"/>
      <c r="AH1635" s="84"/>
      <c r="AI1635" s="84"/>
      <c r="AL1635" s="84"/>
      <c r="AM1635" s="84"/>
      <c r="AN1635" s="84"/>
      <c r="AO1635" s="84"/>
      <c r="AP1635" s="84"/>
      <c r="AQ1635" s="84"/>
      <c r="AR1635" s="84"/>
      <c r="AS1635" s="84"/>
      <c r="AT1635" s="84"/>
      <c r="AU1635" s="84"/>
      <c r="AV1635" s="84"/>
      <c r="AY1635" s="84"/>
      <c r="AZ1635" s="84"/>
      <c r="BA1635" s="84"/>
      <c r="BB1635" s="84"/>
      <c r="BC1635" s="84"/>
      <c r="BD1635" s="84"/>
      <c r="BE1635" s="84"/>
      <c r="BF1635" s="942"/>
      <c r="BG1635" s="942"/>
      <c r="BH1635" s="942"/>
      <c r="BI1635" s="84"/>
      <c r="BL1635" s="84"/>
      <c r="BM1635" s="84"/>
      <c r="BN1635" s="84"/>
      <c r="BO1635" s="84"/>
      <c r="BP1635" s="84"/>
      <c r="BQ1635" s="84"/>
      <c r="BR1635" s="84"/>
      <c r="BS1635" s="942"/>
      <c r="BT1635" s="942"/>
      <c r="BU1635" s="942"/>
      <c r="BV1635" s="84"/>
    </row>
    <row r="1636" spans="14:74" ht="14.25">
      <c r="N1636" s="84"/>
      <c r="O1636" s="84"/>
      <c r="P1636" s="84"/>
      <c r="Q1636" s="84"/>
      <c r="R1636" s="84"/>
      <c r="S1636" s="84"/>
      <c r="T1636" s="84"/>
      <c r="U1636" s="84"/>
      <c r="V1636" s="84"/>
      <c r="W1636" s="84"/>
      <c r="Y1636" s="84"/>
      <c r="Z1636" s="84"/>
      <c r="AA1636" s="84"/>
      <c r="AB1636" s="84"/>
      <c r="AC1636" s="84"/>
      <c r="AD1636" s="84"/>
      <c r="AE1636" s="84"/>
      <c r="AF1636" s="84"/>
      <c r="AG1636" s="84"/>
      <c r="AH1636" s="84"/>
      <c r="AI1636" s="84"/>
      <c r="AL1636" s="84"/>
      <c r="AM1636" s="84"/>
      <c r="AN1636" s="84"/>
      <c r="AO1636" s="84"/>
      <c r="AP1636" s="84"/>
      <c r="AQ1636" s="84"/>
      <c r="AR1636" s="84"/>
      <c r="AS1636" s="84"/>
      <c r="AT1636" s="84"/>
      <c r="AU1636" s="84"/>
      <c r="AV1636" s="84"/>
      <c r="AY1636" s="84"/>
      <c r="AZ1636" s="84"/>
      <c r="BA1636" s="84"/>
      <c r="BB1636" s="84"/>
      <c r="BC1636" s="84"/>
      <c r="BD1636" s="84"/>
      <c r="BE1636" s="84"/>
      <c r="BF1636" s="942"/>
      <c r="BG1636" s="942"/>
      <c r="BH1636" s="942"/>
      <c r="BI1636" s="84"/>
      <c r="BL1636" s="84"/>
      <c r="BM1636" s="84"/>
      <c r="BN1636" s="84"/>
      <c r="BO1636" s="84"/>
      <c r="BP1636" s="84"/>
      <c r="BQ1636" s="84"/>
      <c r="BR1636" s="84"/>
      <c r="BS1636" s="942"/>
      <c r="BT1636" s="942"/>
      <c r="BU1636" s="942"/>
      <c r="BV1636" s="84"/>
    </row>
    <row r="1637" spans="14:74" ht="14.25">
      <c r="N1637" s="84"/>
      <c r="O1637" s="84"/>
      <c r="P1637" s="84"/>
      <c r="Q1637" s="84"/>
      <c r="R1637" s="84"/>
      <c r="S1637" s="84"/>
      <c r="T1637" s="84"/>
      <c r="U1637" s="84"/>
      <c r="V1637" s="84"/>
      <c r="W1637" s="84"/>
      <c r="Y1637" s="84"/>
      <c r="Z1637" s="84"/>
      <c r="AA1637" s="84"/>
      <c r="AB1637" s="84"/>
      <c r="AC1637" s="84"/>
      <c r="AD1637" s="84"/>
      <c r="AE1637" s="84"/>
      <c r="AF1637" s="84"/>
      <c r="AG1637" s="84"/>
      <c r="AH1637" s="84"/>
      <c r="AI1637" s="84"/>
      <c r="AL1637" s="84"/>
      <c r="AM1637" s="84"/>
      <c r="AN1637" s="84"/>
      <c r="AO1637" s="84"/>
      <c r="AP1637" s="84"/>
      <c r="AQ1637" s="84"/>
      <c r="AR1637" s="84"/>
      <c r="AS1637" s="84"/>
      <c r="AT1637" s="84"/>
      <c r="AU1637" s="84"/>
      <c r="AV1637" s="84"/>
      <c r="AY1637" s="84"/>
      <c r="AZ1637" s="84"/>
      <c r="BA1637" s="84"/>
      <c r="BB1637" s="84"/>
      <c r="BC1637" s="84"/>
      <c r="BD1637" s="84"/>
      <c r="BE1637" s="84"/>
      <c r="BF1637" s="942"/>
      <c r="BG1637" s="942"/>
      <c r="BH1637" s="942"/>
      <c r="BI1637" s="84"/>
      <c r="BL1637" s="84"/>
      <c r="BM1637" s="84"/>
      <c r="BN1637" s="84"/>
      <c r="BO1637" s="84"/>
      <c r="BP1637" s="84"/>
      <c r="BQ1637" s="84"/>
      <c r="BR1637" s="84"/>
      <c r="BS1637" s="942"/>
      <c r="BT1637" s="942"/>
      <c r="BU1637" s="942"/>
      <c r="BV1637" s="84"/>
    </row>
    <row r="1638" spans="14:74" ht="14.25">
      <c r="N1638" s="84"/>
      <c r="O1638" s="84"/>
      <c r="P1638" s="84"/>
      <c r="Q1638" s="84"/>
      <c r="R1638" s="84"/>
      <c r="S1638" s="84"/>
      <c r="T1638" s="84"/>
      <c r="U1638" s="84"/>
      <c r="V1638" s="84"/>
      <c r="W1638" s="84"/>
      <c r="Y1638" s="84"/>
      <c r="Z1638" s="84"/>
      <c r="AA1638" s="84"/>
      <c r="AB1638" s="84"/>
      <c r="AC1638" s="84"/>
      <c r="AD1638" s="84"/>
      <c r="AE1638" s="84"/>
      <c r="AF1638" s="84"/>
      <c r="AG1638" s="84"/>
      <c r="AH1638" s="84"/>
      <c r="AI1638" s="84"/>
      <c r="AL1638" s="84"/>
      <c r="AM1638" s="84"/>
      <c r="AN1638" s="84"/>
      <c r="AO1638" s="84"/>
      <c r="AP1638" s="84"/>
      <c r="AQ1638" s="84"/>
      <c r="AR1638" s="84"/>
      <c r="AS1638" s="84"/>
      <c r="AT1638" s="84"/>
      <c r="AU1638" s="84"/>
      <c r="AV1638" s="84"/>
      <c r="AY1638" s="84"/>
      <c r="AZ1638" s="84"/>
      <c r="BA1638" s="84"/>
      <c r="BB1638" s="84"/>
      <c r="BC1638" s="84"/>
      <c r="BD1638" s="84"/>
      <c r="BE1638" s="84"/>
      <c r="BF1638" s="942"/>
      <c r="BG1638" s="942"/>
      <c r="BH1638" s="942"/>
      <c r="BI1638" s="84"/>
      <c r="BL1638" s="84"/>
      <c r="BM1638" s="84"/>
      <c r="BN1638" s="84"/>
      <c r="BO1638" s="84"/>
      <c r="BP1638" s="84"/>
      <c r="BQ1638" s="84"/>
      <c r="BR1638" s="84"/>
      <c r="BS1638" s="942"/>
      <c r="BT1638" s="942"/>
      <c r="BU1638" s="942"/>
      <c r="BV1638" s="84"/>
    </row>
    <row r="1639" spans="14:74" ht="14.25">
      <c r="N1639" s="84"/>
      <c r="O1639" s="84"/>
      <c r="P1639" s="84"/>
      <c r="Q1639" s="84"/>
      <c r="R1639" s="84"/>
      <c r="S1639" s="84"/>
      <c r="T1639" s="84"/>
      <c r="U1639" s="84"/>
      <c r="V1639" s="84"/>
      <c r="W1639" s="84"/>
      <c r="Y1639" s="84"/>
      <c r="Z1639" s="84"/>
      <c r="AA1639" s="84"/>
      <c r="AB1639" s="84"/>
      <c r="AC1639" s="84"/>
      <c r="AD1639" s="84"/>
      <c r="AE1639" s="84"/>
      <c r="AF1639" s="84"/>
      <c r="AG1639" s="84"/>
      <c r="AH1639" s="84"/>
      <c r="AI1639" s="84"/>
      <c r="AL1639" s="84"/>
      <c r="AM1639" s="84"/>
      <c r="AN1639" s="84"/>
      <c r="AO1639" s="84"/>
      <c r="AP1639" s="84"/>
      <c r="AQ1639" s="84"/>
      <c r="AR1639" s="84"/>
      <c r="AS1639" s="84"/>
      <c r="AT1639" s="84"/>
      <c r="AU1639" s="84"/>
      <c r="AV1639" s="84"/>
      <c r="AY1639" s="84"/>
      <c r="AZ1639" s="84"/>
      <c r="BA1639" s="84"/>
      <c r="BB1639" s="84"/>
      <c r="BC1639" s="84"/>
      <c r="BD1639" s="84"/>
      <c r="BE1639" s="84"/>
      <c r="BF1639" s="942"/>
      <c r="BG1639" s="942"/>
      <c r="BH1639" s="942"/>
      <c r="BI1639" s="84"/>
      <c r="BL1639" s="84"/>
      <c r="BM1639" s="84"/>
      <c r="BN1639" s="84"/>
      <c r="BO1639" s="84"/>
      <c r="BP1639" s="84"/>
      <c r="BQ1639" s="84"/>
      <c r="BR1639" s="84"/>
      <c r="BS1639" s="942"/>
      <c r="BT1639" s="942"/>
      <c r="BU1639" s="942"/>
      <c r="BV1639" s="84"/>
    </row>
    <row r="1640" spans="14:74" ht="14.25">
      <c r="N1640" s="84"/>
      <c r="O1640" s="84"/>
      <c r="P1640" s="84"/>
      <c r="Q1640" s="84"/>
      <c r="R1640" s="84"/>
      <c r="S1640" s="84"/>
      <c r="T1640" s="84"/>
      <c r="U1640" s="84"/>
      <c r="V1640" s="84"/>
      <c r="W1640" s="84"/>
      <c r="Y1640" s="84"/>
      <c r="Z1640" s="84"/>
      <c r="AA1640" s="84"/>
      <c r="AB1640" s="84"/>
      <c r="AC1640" s="84"/>
      <c r="AD1640" s="84"/>
      <c r="AE1640" s="84"/>
      <c r="AF1640" s="84"/>
      <c r="AG1640" s="84"/>
      <c r="AH1640" s="84"/>
      <c r="AI1640" s="84"/>
      <c r="AL1640" s="84"/>
      <c r="AM1640" s="84"/>
      <c r="AN1640" s="84"/>
      <c r="AO1640" s="84"/>
      <c r="AP1640" s="84"/>
      <c r="AQ1640" s="84"/>
      <c r="AR1640" s="84"/>
      <c r="AS1640" s="84"/>
      <c r="AT1640" s="84"/>
      <c r="AU1640" s="84"/>
      <c r="AV1640" s="84"/>
      <c r="AY1640" s="84"/>
      <c r="AZ1640" s="84"/>
      <c r="BA1640" s="84"/>
      <c r="BB1640" s="84"/>
      <c r="BC1640" s="84"/>
      <c r="BD1640" s="84"/>
      <c r="BE1640" s="84"/>
      <c r="BF1640" s="942"/>
      <c r="BG1640" s="942"/>
      <c r="BH1640" s="942"/>
      <c r="BI1640" s="84"/>
      <c r="BL1640" s="84"/>
      <c r="BM1640" s="84"/>
      <c r="BN1640" s="84"/>
      <c r="BO1640" s="84"/>
      <c r="BP1640" s="84"/>
      <c r="BQ1640" s="84"/>
      <c r="BR1640" s="84"/>
      <c r="BS1640" s="942"/>
      <c r="BT1640" s="942"/>
      <c r="BU1640" s="942"/>
      <c r="BV1640" s="84"/>
    </row>
    <row r="1641" spans="14:74" ht="14.25">
      <c r="N1641" s="84"/>
      <c r="O1641" s="84"/>
      <c r="P1641" s="84"/>
      <c r="Q1641" s="84"/>
      <c r="R1641" s="84"/>
      <c r="S1641" s="84"/>
      <c r="T1641" s="84"/>
      <c r="U1641" s="84"/>
      <c r="V1641" s="84"/>
      <c r="W1641" s="84"/>
      <c r="Y1641" s="84"/>
      <c r="Z1641" s="84"/>
      <c r="AA1641" s="84"/>
      <c r="AB1641" s="84"/>
      <c r="AC1641" s="84"/>
      <c r="AD1641" s="84"/>
      <c r="AE1641" s="84"/>
      <c r="AF1641" s="84"/>
      <c r="AG1641" s="84"/>
      <c r="AH1641" s="84"/>
      <c r="AI1641" s="84"/>
      <c r="AL1641" s="84"/>
      <c r="AM1641" s="84"/>
      <c r="AN1641" s="84"/>
      <c r="AO1641" s="84"/>
      <c r="AP1641" s="84"/>
      <c r="AQ1641" s="84"/>
      <c r="AR1641" s="84"/>
      <c r="AS1641" s="84"/>
      <c r="AT1641" s="84"/>
      <c r="AU1641" s="84"/>
      <c r="AV1641" s="84"/>
      <c r="AY1641" s="84"/>
      <c r="AZ1641" s="84"/>
      <c r="BA1641" s="84"/>
      <c r="BB1641" s="84"/>
      <c r="BC1641" s="84"/>
      <c r="BD1641" s="84"/>
      <c r="BE1641" s="84"/>
      <c r="BF1641" s="942"/>
      <c r="BG1641" s="942"/>
      <c r="BH1641" s="942"/>
      <c r="BI1641" s="84"/>
      <c r="BL1641" s="84"/>
      <c r="BM1641" s="84"/>
      <c r="BN1641" s="84"/>
      <c r="BO1641" s="84"/>
      <c r="BP1641" s="84"/>
      <c r="BQ1641" s="84"/>
      <c r="BR1641" s="84"/>
      <c r="BS1641" s="942"/>
      <c r="BT1641" s="942"/>
      <c r="BU1641" s="942"/>
      <c r="BV1641" s="84"/>
    </row>
    <row r="1642" spans="14:74" ht="14.25">
      <c r="N1642" s="84"/>
      <c r="O1642" s="84"/>
      <c r="P1642" s="84"/>
      <c r="Q1642" s="84"/>
      <c r="R1642" s="84"/>
      <c r="S1642" s="84"/>
      <c r="T1642" s="84"/>
      <c r="U1642" s="84"/>
      <c r="V1642" s="84"/>
      <c r="W1642" s="84"/>
      <c r="Y1642" s="84"/>
      <c r="Z1642" s="84"/>
      <c r="AA1642" s="84"/>
      <c r="AB1642" s="84"/>
      <c r="AC1642" s="84"/>
      <c r="AD1642" s="84"/>
      <c r="AE1642" s="84"/>
      <c r="AF1642" s="84"/>
      <c r="AG1642" s="84"/>
      <c r="AH1642" s="84"/>
      <c r="AI1642" s="84"/>
      <c r="AL1642" s="84"/>
      <c r="AM1642" s="84"/>
      <c r="AN1642" s="84"/>
      <c r="AO1642" s="84"/>
      <c r="AP1642" s="84"/>
      <c r="AQ1642" s="84"/>
      <c r="AR1642" s="84"/>
      <c r="AS1642" s="84"/>
      <c r="AT1642" s="84"/>
      <c r="AU1642" s="84"/>
      <c r="AV1642" s="84"/>
      <c r="AY1642" s="84"/>
      <c r="AZ1642" s="84"/>
      <c r="BA1642" s="84"/>
      <c r="BB1642" s="84"/>
      <c r="BC1642" s="84"/>
      <c r="BD1642" s="84"/>
      <c r="BE1642" s="84"/>
      <c r="BF1642" s="942"/>
      <c r="BG1642" s="942"/>
      <c r="BH1642" s="942"/>
      <c r="BI1642" s="84"/>
      <c r="BL1642" s="84"/>
      <c r="BM1642" s="84"/>
      <c r="BN1642" s="84"/>
      <c r="BO1642" s="84"/>
      <c r="BP1642" s="84"/>
      <c r="BQ1642" s="84"/>
      <c r="BR1642" s="84"/>
      <c r="BS1642" s="942"/>
      <c r="BT1642" s="942"/>
      <c r="BU1642" s="942"/>
      <c r="BV1642" s="84"/>
    </row>
    <row r="1643" spans="14:74" ht="14.25">
      <c r="N1643" s="84"/>
      <c r="O1643" s="84"/>
      <c r="P1643" s="84"/>
      <c r="Q1643" s="84"/>
      <c r="R1643" s="84"/>
      <c r="S1643" s="84"/>
      <c r="T1643" s="84"/>
      <c r="U1643" s="84"/>
      <c r="V1643" s="84"/>
      <c r="W1643" s="84"/>
      <c r="Y1643" s="84"/>
      <c r="Z1643" s="84"/>
      <c r="AA1643" s="84"/>
      <c r="AB1643" s="84"/>
      <c r="AC1643" s="84"/>
      <c r="AD1643" s="84"/>
      <c r="AE1643" s="84"/>
      <c r="AF1643" s="84"/>
      <c r="AG1643" s="84"/>
      <c r="AH1643" s="84"/>
      <c r="AI1643" s="84"/>
      <c r="AL1643" s="84"/>
      <c r="AM1643" s="84"/>
      <c r="AN1643" s="84"/>
      <c r="AO1643" s="84"/>
      <c r="AP1643" s="84"/>
      <c r="AQ1643" s="84"/>
      <c r="AR1643" s="84"/>
      <c r="AS1643" s="84"/>
      <c r="AT1643" s="84"/>
      <c r="AU1643" s="84"/>
      <c r="AV1643" s="84"/>
      <c r="AY1643" s="84"/>
      <c r="AZ1643" s="84"/>
      <c r="BA1643" s="84"/>
      <c r="BB1643" s="84"/>
      <c r="BC1643" s="84"/>
      <c r="BD1643" s="84"/>
      <c r="BE1643" s="84"/>
      <c r="BF1643" s="942"/>
      <c r="BG1643" s="942"/>
      <c r="BH1643" s="942"/>
      <c r="BI1643" s="84"/>
      <c r="BL1643" s="84"/>
      <c r="BM1643" s="84"/>
      <c r="BN1643" s="84"/>
      <c r="BO1643" s="84"/>
      <c r="BP1643" s="84"/>
      <c r="BQ1643" s="84"/>
      <c r="BR1643" s="84"/>
      <c r="BS1643" s="942"/>
      <c r="BT1643" s="942"/>
      <c r="BU1643" s="942"/>
      <c r="BV1643" s="84"/>
    </row>
    <row r="1644" spans="14:74" ht="14.25">
      <c r="N1644" s="84"/>
      <c r="O1644" s="84"/>
      <c r="P1644" s="84"/>
      <c r="Q1644" s="84"/>
      <c r="R1644" s="84"/>
      <c r="S1644" s="84"/>
      <c r="T1644" s="84"/>
      <c r="U1644" s="84"/>
      <c r="V1644" s="84"/>
      <c r="W1644" s="84"/>
      <c r="Y1644" s="84"/>
      <c r="Z1644" s="84"/>
      <c r="AA1644" s="84"/>
      <c r="AB1644" s="84"/>
      <c r="AC1644" s="84"/>
      <c r="AD1644" s="84"/>
      <c r="AE1644" s="84"/>
      <c r="AF1644" s="84"/>
      <c r="AG1644" s="84"/>
      <c r="AH1644" s="84"/>
      <c r="AI1644" s="84"/>
      <c r="AL1644" s="84"/>
      <c r="AM1644" s="84"/>
      <c r="AN1644" s="84"/>
      <c r="AO1644" s="84"/>
      <c r="AP1644" s="84"/>
      <c r="AQ1644" s="84"/>
      <c r="AR1644" s="84"/>
      <c r="AS1644" s="84"/>
      <c r="AT1644" s="84"/>
      <c r="AU1644" s="84"/>
      <c r="AV1644" s="84"/>
      <c r="AY1644" s="84"/>
      <c r="AZ1644" s="84"/>
      <c r="BA1644" s="84"/>
      <c r="BB1644" s="84"/>
      <c r="BC1644" s="84"/>
      <c r="BD1644" s="84"/>
      <c r="BE1644" s="84"/>
      <c r="BF1644" s="942"/>
      <c r="BG1644" s="942"/>
      <c r="BH1644" s="942"/>
      <c r="BI1644" s="84"/>
      <c r="BL1644" s="84"/>
      <c r="BM1644" s="84"/>
      <c r="BN1644" s="84"/>
      <c r="BO1644" s="84"/>
      <c r="BP1644" s="84"/>
      <c r="BQ1644" s="84"/>
      <c r="BR1644" s="84"/>
      <c r="BS1644" s="942"/>
      <c r="BT1644" s="942"/>
      <c r="BU1644" s="942"/>
      <c r="BV1644" s="84"/>
    </row>
    <row r="1645" spans="14:74" ht="14.25">
      <c r="N1645" s="84"/>
      <c r="O1645" s="84"/>
      <c r="P1645" s="84"/>
      <c r="Q1645" s="84"/>
      <c r="R1645" s="84"/>
      <c r="S1645" s="84"/>
      <c r="T1645" s="84"/>
      <c r="U1645" s="84"/>
      <c r="V1645" s="84"/>
      <c r="W1645" s="84"/>
      <c r="Y1645" s="84"/>
      <c r="Z1645" s="84"/>
      <c r="AA1645" s="84"/>
      <c r="AB1645" s="84"/>
      <c r="AC1645" s="84"/>
      <c r="AD1645" s="84"/>
      <c r="AE1645" s="84"/>
      <c r="AF1645" s="84"/>
      <c r="AG1645" s="84"/>
      <c r="AH1645" s="84"/>
      <c r="AI1645" s="84"/>
      <c r="AL1645" s="84"/>
      <c r="AM1645" s="84"/>
      <c r="AN1645" s="84"/>
      <c r="AO1645" s="84"/>
      <c r="AP1645" s="84"/>
      <c r="AQ1645" s="84"/>
      <c r="AR1645" s="84"/>
      <c r="AS1645" s="84"/>
      <c r="AT1645" s="84"/>
      <c r="AU1645" s="84"/>
      <c r="AV1645" s="84"/>
      <c r="AY1645" s="84"/>
      <c r="AZ1645" s="84"/>
      <c r="BA1645" s="84"/>
      <c r="BB1645" s="84"/>
      <c r="BC1645" s="84"/>
      <c r="BD1645" s="84"/>
      <c r="BE1645" s="84"/>
      <c r="BF1645" s="942"/>
      <c r="BG1645" s="942"/>
      <c r="BH1645" s="942"/>
      <c r="BI1645" s="84"/>
      <c r="BL1645" s="84"/>
      <c r="BM1645" s="84"/>
      <c r="BN1645" s="84"/>
      <c r="BO1645" s="84"/>
      <c r="BP1645" s="84"/>
      <c r="BQ1645" s="84"/>
      <c r="BR1645" s="84"/>
      <c r="BS1645" s="942"/>
      <c r="BT1645" s="942"/>
      <c r="BU1645" s="942"/>
      <c r="BV1645" s="84"/>
    </row>
    <row r="1646" spans="14:74" ht="14.25">
      <c r="N1646" s="84"/>
      <c r="O1646" s="84"/>
      <c r="P1646" s="84"/>
      <c r="Q1646" s="84"/>
      <c r="R1646" s="84"/>
      <c r="S1646" s="84"/>
      <c r="T1646" s="84"/>
      <c r="U1646" s="84"/>
      <c r="V1646" s="84"/>
      <c r="W1646" s="84"/>
      <c r="Y1646" s="84"/>
      <c r="Z1646" s="84"/>
      <c r="AA1646" s="84"/>
      <c r="AB1646" s="84"/>
      <c r="AC1646" s="84"/>
      <c r="AD1646" s="84"/>
      <c r="AE1646" s="84"/>
      <c r="AF1646" s="84"/>
      <c r="AG1646" s="84"/>
      <c r="AH1646" s="84"/>
      <c r="AI1646" s="84"/>
      <c r="AL1646" s="84"/>
      <c r="AM1646" s="84"/>
      <c r="AN1646" s="84"/>
      <c r="AO1646" s="84"/>
      <c r="AP1646" s="84"/>
      <c r="AQ1646" s="84"/>
      <c r="AR1646" s="84"/>
      <c r="AS1646" s="84"/>
      <c r="AT1646" s="84"/>
      <c r="AU1646" s="84"/>
      <c r="AV1646" s="84"/>
      <c r="AY1646" s="84"/>
      <c r="AZ1646" s="84"/>
      <c r="BA1646" s="84"/>
      <c r="BB1646" s="84"/>
      <c r="BC1646" s="84"/>
      <c r="BD1646" s="84"/>
      <c r="BE1646" s="84"/>
      <c r="BF1646" s="942"/>
      <c r="BG1646" s="942"/>
      <c r="BH1646" s="942"/>
      <c r="BI1646" s="84"/>
      <c r="BL1646" s="84"/>
      <c r="BM1646" s="84"/>
      <c r="BN1646" s="84"/>
      <c r="BO1646" s="84"/>
      <c r="BP1646" s="84"/>
      <c r="BQ1646" s="84"/>
      <c r="BR1646" s="84"/>
      <c r="BS1646" s="942"/>
      <c r="BT1646" s="942"/>
      <c r="BU1646" s="942"/>
      <c r="BV1646" s="84"/>
    </row>
    <row r="1647" spans="14:74" ht="14.25">
      <c r="N1647" s="84"/>
      <c r="O1647" s="84"/>
      <c r="P1647" s="84"/>
      <c r="Q1647" s="84"/>
      <c r="R1647" s="84"/>
      <c r="S1647" s="84"/>
      <c r="T1647" s="84"/>
      <c r="U1647" s="84"/>
      <c r="V1647" s="84"/>
      <c r="W1647" s="84"/>
      <c r="Y1647" s="84"/>
      <c r="Z1647" s="84"/>
      <c r="AA1647" s="84"/>
      <c r="AB1647" s="84"/>
      <c r="AC1647" s="84"/>
      <c r="AD1647" s="84"/>
      <c r="AE1647" s="84"/>
      <c r="AF1647" s="84"/>
      <c r="AG1647" s="84"/>
      <c r="AH1647" s="84"/>
      <c r="AI1647" s="84"/>
      <c r="AL1647" s="84"/>
      <c r="AM1647" s="84"/>
      <c r="AN1647" s="84"/>
      <c r="AO1647" s="84"/>
      <c r="AP1647" s="84"/>
      <c r="AQ1647" s="84"/>
      <c r="AR1647" s="84"/>
      <c r="AS1647" s="84"/>
      <c r="AT1647" s="84"/>
      <c r="AU1647" s="84"/>
      <c r="AV1647" s="84"/>
      <c r="AY1647" s="84"/>
      <c r="AZ1647" s="84"/>
      <c r="BA1647" s="84"/>
      <c r="BB1647" s="84"/>
      <c r="BC1647" s="84"/>
      <c r="BD1647" s="84"/>
      <c r="BE1647" s="84"/>
      <c r="BF1647" s="942"/>
      <c r="BG1647" s="942"/>
      <c r="BH1647" s="942"/>
      <c r="BI1647" s="84"/>
      <c r="BL1647" s="84"/>
      <c r="BM1647" s="84"/>
      <c r="BN1647" s="84"/>
      <c r="BO1647" s="84"/>
      <c r="BP1647" s="84"/>
      <c r="BQ1647" s="84"/>
      <c r="BR1647" s="84"/>
      <c r="BS1647" s="942"/>
      <c r="BT1647" s="942"/>
      <c r="BU1647" s="942"/>
      <c r="BV1647" s="84"/>
    </row>
    <row r="1648" spans="14:74" ht="14.25">
      <c r="N1648" s="84"/>
      <c r="O1648" s="84"/>
      <c r="P1648" s="84"/>
      <c r="Q1648" s="84"/>
      <c r="R1648" s="84"/>
      <c r="S1648" s="84"/>
      <c r="T1648" s="84"/>
      <c r="U1648" s="84"/>
      <c r="V1648" s="84"/>
      <c r="W1648" s="84"/>
      <c r="Y1648" s="84"/>
      <c r="Z1648" s="84"/>
      <c r="AA1648" s="84"/>
      <c r="AB1648" s="84"/>
      <c r="AC1648" s="84"/>
      <c r="AD1648" s="84"/>
      <c r="AE1648" s="84"/>
      <c r="AF1648" s="84"/>
      <c r="AG1648" s="84"/>
      <c r="AH1648" s="84"/>
      <c r="AI1648" s="84"/>
      <c r="AL1648" s="84"/>
      <c r="AM1648" s="84"/>
      <c r="AN1648" s="84"/>
      <c r="AO1648" s="84"/>
      <c r="AP1648" s="84"/>
      <c r="AQ1648" s="84"/>
      <c r="AR1648" s="84"/>
      <c r="AS1648" s="84"/>
      <c r="AT1648" s="84"/>
      <c r="AU1648" s="84"/>
      <c r="AV1648" s="84"/>
      <c r="AY1648" s="84"/>
      <c r="AZ1648" s="84"/>
      <c r="BA1648" s="84"/>
      <c r="BB1648" s="84"/>
      <c r="BC1648" s="84"/>
      <c r="BD1648" s="84"/>
      <c r="BE1648" s="84"/>
      <c r="BF1648" s="942"/>
      <c r="BG1648" s="942"/>
      <c r="BH1648" s="942"/>
      <c r="BI1648" s="84"/>
      <c r="BL1648" s="84"/>
      <c r="BM1648" s="84"/>
      <c r="BN1648" s="84"/>
      <c r="BO1648" s="84"/>
      <c r="BP1648" s="84"/>
      <c r="BQ1648" s="84"/>
      <c r="BR1648" s="84"/>
      <c r="BS1648" s="942"/>
      <c r="BT1648" s="942"/>
      <c r="BU1648" s="942"/>
      <c r="BV1648" s="84"/>
    </row>
    <row r="1649" spans="14:74" ht="14.25">
      <c r="N1649" s="84"/>
      <c r="O1649" s="84"/>
      <c r="P1649" s="84"/>
      <c r="Q1649" s="84"/>
      <c r="R1649" s="84"/>
      <c r="S1649" s="84"/>
      <c r="T1649" s="84"/>
      <c r="U1649" s="84"/>
      <c r="V1649" s="84"/>
      <c r="W1649" s="84"/>
      <c r="Y1649" s="84"/>
      <c r="Z1649" s="84"/>
      <c r="AA1649" s="84"/>
      <c r="AB1649" s="84"/>
      <c r="AC1649" s="84"/>
      <c r="AD1649" s="84"/>
      <c r="AE1649" s="84"/>
      <c r="AF1649" s="84"/>
      <c r="AG1649" s="84"/>
      <c r="AH1649" s="84"/>
      <c r="AI1649" s="84"/>
      <c r="AL1649" s="84"/>
      <c r="AM1649" s="84"/>
      <c r="AN1649" s="84"/>
      <c r="AO1649" s="84"/>
      <c r="AP1649" s="84"/>
      <c r="AQ1649" s="84"/>
      <c r="AR1649" s="84"/>
      <c r="AS1649" s="84"/>
      <c r="AT1649" s="84"/>
      <c r="AU1649" s="84"/>
      <c r="AV1649" s="84"/>
      <c r="AY1649" s="84"/>
      <c r="AZ1649" s="84"/>
      <c r="BA1649" s="84"/>
      <c r="BB1649" s="84"/>
      <c r="BC1649" s="84"/>
      <c r="BD1649" s="84"/>
      <c r="BE1649" s="84"/>
      <c r="BF1649" s="942"/>
      <c r="BG1649" s="942"/>
      <c r="BH1649" s="942"/>
      <c r="BI1649" s="84"/>
      <c r="BL1649" s="84"/>
      <c r="BM1649" s="84"/>
      <c r="BN1649" s="84"/>
      <c r="BO1649" s="84"/>
      <c r="BP1649" s="84"/>
      <c r="BQ1649" s="84"/>
      <c r="BR1649" s="84"/>
      <c r="BS1649" s="942"/>
      <c r="BT1649" s="942"/>
      <c r="BU1649" s="942"/>
      <c r="BV1649" s="84"/>
    </row>
    <row r="1650" spans="14:74" ht="14.25">
      <c r="N1650" s="84"/>
      <c r="O1650" s="84"/>
      <c r="P1650" s="84"/>
      <c r="Q1650" s="84"/>
      <c r="R1650" s="84"/>
      <c r="S1650" s="84"/>
      <c r="T1650" s="84"/>
      <c r="U1650" s="84"/>
      <c r="V1650" s="84"/>
      <c r="W1650" s="84"/>
      <c r="Y1650" s="84"/>
      <c r="Z1650" s="84"/>
      <c r="AA1650" s="84"/>
      <c r="AB1650" s="84"/>
      <c r="AC1650" s="84"/>
      <c r="AD1650" s="84"/>
      <c r="AE1650" s="84"/>
      <c r="AF1650" s="84"/>
      <c r="AG1650" s="84"/>
      <c r="AH1650" s="84"/>
      <c r="AI1650" s="84"/>
      <c r="AL1650" s="84"/>
      <c r="AM1650" s="84"/>
      <c r="AN1650" s="84"/>
      <c r="AO1650" s="84"/>
      <c r="AP1650" s="84"/>
      <c r="AQ1650" s="84"/>
      <c r="AR1650" s="84"/>
      <c r="AS1650" s="84"/>
      <c r="AT1650" s="84"/>
      <c r="AU1650" s="84"/>
      <c r="AV1650" s="84"/>
      <c r="AY1650" s="84"/>
      <c r="AZ1650" s="84"/>
      <c r="BA1650" s="84"/>
      <c r="BB1650" s="84"/>
      <c r="BC1650" s="84"/>
      <c r="BD1650" s="84"/>
      <c r="BE1650" s="84"/>
      <c r="BF1650" s="942"/>
      <c r="BG1650" s="942"/>
      <c r="BH1650" s="942"/>
      <c r="BI1650" s="84"/>
      <c r="BL1650" s="84"/>
      <c r="BM1650" s="84"/>
      <c r="BN1650" s="84"/>
      <c r="BO1650" s="84"/>
      <c r="BP1650" s="84"/>
      <c r="BQ1650" s="84"/>
      <c r="BR1650" s="84"/>
      <c r="BS1650" s="942"/>
      <c r="BT1650" s="942"/>
      <c r="BU1650" s="942"/>
      <c r="BV1650" s="84"/>
    </row>
    <row r="1651" spans="14:74" ht="14.25">
      <c r="N1651" s="84"/>
      <c r="O1651" s="84"/>
      <c r="P1651" s="84"/>
      <c r="Q1651" s="84"/>
      <c r="R1651" s="84"/>
      <c r="S1651" s="84"/>
      <c r="T1651" s="84"/>
      <c r="U1651" s="84"/>
      <c r="V1651" s="84"/>
      <c r="W1651" s="84"/>
      <c r="Y1651" s="84"/>
      <c r="Z1651" s="84"/>
      <c r="AA1651" s="84"/>
      <c r="AB1651" s="84"/>
      <c r="AC1651" s="84"/>
      <c r="AD1651" s="84"/>
      <c r="AE1651" s="84"/>
      <c r="AF1651" s="84"/>
      <c r="AG1651" s="84"/>
      <c r="AH1651" s="84"/>
      <c r="AI1651" s="84"/>
      <c r="AL1651" s="84"/>
      <c r="AM1651" s="84"/>
      <c r="AN1651" s="84"/>
      <c r="AO1651" s="84"/>
      <c r="AP1651" s="84"/>
      <c r="AQ1651" s="84"/>
      <c r="AR1651" s="84"/>
      <c r="AS1651" s="84"/>
      <c r="AT1651" s="84"/>
      <c r="AU1651" s="84"/>
      <c r="AV1651" s="84"/>
      <c r="AY1651" s="84"/>
      <c r="AZ1651" s="84"/>
      <c r="BA1651" s="84"/>
      <c r="BB1651" s="84"/>
      <c r="BC1651" s="84"/>
      <c r="BD1651" s="84"/>
      <c r="BE1651" s="84"/>
      <c r="BF1651" s="942"/>
      <c r="BG1651" s="942"/>
      <c r="BH1651" s="942"/>
      <c r="BI1651" s="84"/>
      <c r="BL1651" s="84"/>
      <c r="BM1651" s="84"/>
      <c r="BN1651" s="84"/>
      <c r="BO1651" s="84"/>
      <c r="BP1651" s="84"/>
      <c r="BQ1651" s="84"/>
      <c r="BR1651" s="84"/>
      <c r="BS1651" s="942"/>
      <c r="BT1651" s="942"/>
      <c r="BU1651" s="942"/>
      <c r="BV1651" s="84"/>
    </row>
    <row r="1652" spans="14:74" ht="14.25">
      <c r="N1652" s="84"/>
      <c r="O1652" s="84"/>
      <c r="P1652" s="84"/>
      <c r="Q1652" s="84"/>
      <c r="R1652" s="84"/>
      <c r="S1652" s="84"/>
      <c r="T1652" s="84"/>
      <c r="U1652" s="84"/>
      <c r="V1652" s="84"/>
      <c r="W1652" s="84"/>
      <c r="Y1652" s="84"/>
      <c r="Z1652" s="84"/>
      <c r="AA1652" s="84"/>
      <c r="AB1652" s="84"/>
      <c r="AC1652" s="84"/>
      <c r="AD1652" s="84"/>
      <c r="AE1652" s="84"/>
      <c r="AF1652" s="84"/>
      <c r="AG1652" s="84"/>
      <c r="AH1652" s="84"/>
      <c r="AI1652" s="84"/>
      <c r="AL1652" s="84"/>
      <c r="AM1652" s="84"/>
      <c r="AN1652" s="84"/>
      <c r="AO1652" s="84"/>
      <c r="AP1652" s="84"/>
      <c r="AQ1652" s="84"/>
      <c r="AR1652" s="84"/>
      <c r="AS1652" s="84"/>
      <c r="AT1652" s="84"/>
      <c r="AU1652" s="84"/>
      <c r="AV1652" s="84"/>
      <c r="AY1652" s="84"/>
      <c r="AZ1652" s="84"/>
      <c r="BA1652" s="84"/>
      <c r="BB1652" s="84"/>
      <c r="BC1652" s="84"/>
      <c r="BD1652" s="84"/>
      <c r="BE1652" s="84"/>
      <c r="BF1652" s="942"/>
      <c r="BG1652" s="942"/>
      <c r="BH1652" s="942"/>
      <c r="BI1652" s="84"/>
      <c r="BL1652" s="84"/>
      <c r="BM1652" s="84"/>
      <c r="BN1652" s="84"/>
      <c r="BO1652" s="84"/>
      <c r="BP1652" s="84"/>
      <c r="BQ1652" s="84"/>
      <c r="BR1652" s="84"/>
      <c r="BS1652" s="942"/>
      <c r="BT1652" s="942"/>
      <c r="BU1652" s="942"/>
      <c r="BV1652" s="84"/>
    </row>
    <row r="1653" spans="14:74" ht="14.25">
      <c r="N1653" s="84"/>
      <c r="O1653" s="84"/>
      <c r="P1653" s="84"/>
      <c r="Q1653" s="84"/>
      <c r="R1653" s="84"/>
      <c r="S1653" s="84"/>
      <c r="T1653" s="84"/>
      <c r="U1653" s="84"/>
      <c r="V1653" s="84"/>
      <c r="W1653" s="84"/>
      <c r="Y1653" s="84"/>
      <c r="Z1653" s="84"/>
      <c r="AA1653" s="84"/>
      <c r="AB1653" s="84"/>
      <c r="AC1653" s="84"/>
      <c r="AD1653" s="84"/>
      <c r="AE1653" s="84"/>
      <c r="AF1653" s="84"/>
      <c r="AG1653" s="84"/>
      <c r="AH1653" s="84"/>
      <c r="AI1653" s="84"/>
      <c r="AL1653" s="84"/>
      <c r="AM1653" s="84"/>
      <c r="AN1653" s="84"/>
      <c r="AO1653" s="84"/>
      <c r="AP1653" s="84"/>
      <c r="AQ1653" s="84"/>
      <c r="AR1653" s="84"/>
      <c r="AS1653" s="84"/>
      <c r="AT1653" s="84"/>
      <c r="AU1653" s="84"/>
      <c r="AV1653" s="84"/>
      <c r="AY1653" s="84"/>
      <c r="AZ1653" s="84"/>
      <c r="BA1653" s="84"/>
      <c r="BB1653" s="84"/>
      <c r="BC1653" s="84"/>
      <c r="BD1653" s="84"/>
      <c r="BE1653" s="84"/>
      <c r="BF1653" s="942"/>
      <c r="BG1653" s="942"/>
      <c r="BH1653" s="942"/>
      <c r="BI1653" s="84"/>
      <c r="BL1653" s="84"/>
      <c r="BM1653" s="84"/>
      <c r="BN1653" s="84"/>
      <c r="BO1653" s="84"/>
      <c r="BP1653" s="84"/>
      <c r="BQ1653" s="84"/>
      <c r="BR1653" s="84"/>
      <c r="BS1653" s="942"/>
      <c r="BT1653" s="942"/>
      <c r="BU1653" s="942"/>
      <c r="BV1653" s="84"/>
    </row>
    <row r="1654" spans="14:74" ht="14.25">
      <c r="N1654" s="84"/>
      <c r="O1654" s="84"/>
      <c r="P1654" s="84"/>
      <c r="Q1654" s="84"/>
      <c r="R1654" s="84"/>
      <c r="S1654" s="84"/>
      <c r="T1654" s="84"/>
      <c r="U1654" s="84"/>
      <c r="V1654" s="84"/>
      <c r="W1654" s="84"/>
      <c r="Y1654" s="84"/>
      <c r="Z1654" s="84"/>
      <c r="AA1654" s="84"/>
      <c r="AB1654" s="84"/>
      <c r="AC1654" s="84"/>
      <c r="AD1654" s="84"/>
      <c r="AE1654" s="84"/>
      <c r="AF1654" s="84"/>
      <c r="AG1654" s="84"/>
      <c r="AH1654" s="84"/>
      <c r="AI1654" s="84"/>
      <c r="AL1654" s="84"/>
      <c r="AM1654" s="84"/>
      <c r="AN1654" s="84"/>
      <c r="AO1654" s="84"/>
      <c r="AP1654" s="84"/>
      <c r="AQ1654" s="84"/>
      <c r="AR1654" s="84"/>
      <c r="AS1654" s="84"/>
      <c r="AT1654" s="84"/>
      <c r="AU1654" s="84"/>
      <c r="AV1654" s="84"/>
      <c r="AY1654" s="84"/>
      <c r="AZ1654" s="84"/>
      <c r="BA1654" s="84"/>
      <c r="BB1654" s="84"/>
      <c r="BC1654" s="84"/>
      <c r="BD1654" s="84"/>
      <c r="BE1654" s="84"/>
      <c r="BF1654" s="942"/>
      <c r="BG1654" s="942"/>
      <c r="BH1654" s="942"/>
      <c r="BI1654" s="84"/>
      <c r="BL1654" s="84"/>
      <c r="BM1654" s="84"/>
      <c r="BN1654" s="84"/>
      <c r="BO1654" s="84"/>
      <c r="BP1654" s="84"/>
      <c r="BQ1654" s="84"/>
      <c r="BR1654" s="84"/>
      <c r="BS1654" s="942"/>
      <c r="BT1654" s="942"/>
      <c r="BU1654" s="942"/>
      <c r="BV1654" s="84"/>
    </row>
    <row r="1655" spans="14:74" ht="14.25">
      <c r="N1655" s="84"/>
      <c r="O1655" s="84"/>
      <c r="P1655" s="84"/>
      <c r="Q1655" s="84"/>
      <c r="R1655" s="84"/>
      <c r="S1655" s="84"/>
      <c r="T1655" s="84"/>
      <c r="U1655" s="84"/>
      <c r="V1655" s="84"/>
      <c r="W1655" s="84"/>
      <c r="Y1655" s="84"/>
      <c r="Z1655" s="84"/>
      <c r="AA1655" s="84"/>
      <c r="AB1655" s="84"/>
      <c r="AC1655" s="84"/>
      <c r="AD1655" s="84"/>
      <c r="AE1655" s="84"/>
      <c r="AF1655" s="84"/>
      <c r="AG1655" s="84"/>
      <c r="AH1655" s="84"/>
      <c r="AI1655" s="84"/>
      <c r="AL1655" s="84"/>
      <c r="AM1655" s="84"/>
      <c r="AN1655" s="84"/>
      <c r="AO1655" s="84"/>
      <c r="AP1655" s="84"/>
      <c r="AQ1655" s="84"/>
      <c r="AR1655" s="84"/>
      <c r="AS1655" s="84"/>
      <c r="AT1655" s="84"/>
      <c r="AU1655" s="84"/>
      <c r="AV1655" s="84"/>
      <c r="AY1655" s="84"/>
      <c r="AZ1655" s="84"/>
      <c r="BA1655" s="84"/>
      <c r="BB1655" s="84"/>
      <c r="BC1655" s="84"/>
      <c r="BD1655" s="84"/>
      <c r="BE1655" s="84"/>
      <c r="BF1655" s="942"/>
      <c r="BG1655" s="942"/>
      <c r="BH1655" s="942"/>
      <c r="BI1655" s="84"/>
      <c r="BL1655" s="84"/>
      <c r="BM1655" s="84"/>
      <c r="BN1655" s="84"/>
      <c r="BO1655" s="84"/>
      <c r="BP1655" s="84"/>
      <c r="BQ1655" s="84"/>
      <c r="BR1655" s="84"/>
      <c r="BS1655" s="942"/>
      <c r="BT1655" s="942"/>
      <c r="BU1655" s="942"/>
      <c r="BV1655" s="84"/>
    </row>
    <row r="1656" spans="14:74" ht="14.25">
      <c r="N1656" s="84"/>
      <c r="O1656" s="84"/>
      <c r="P1656" s="84"/>
      <c r="Q1656" s="84"/>
      <c r="R1656" s="84"/>
      <c r="S1656" s="84"/>
      <c r="T1656" s="84"/>
      <c r="U1656" s="84"/>
      <c r="V1656" s="84"/>
      <c r="W1656" s="84"/>
      <c r="Y1656" s="84"/>
      <c r="Z1656" s="84"/>
      <c r="AA1656" s="84"/>
      <c r="AB1656" s="84"/>
      <c r="AC1656" s="84"/>
      <c r="AD1656" s="84"/>
      <c r="AE1656" s="84"/>
      <c r="AF1656" s="84"/>
      <c r="AG1656" s="84"/>
      <c r="AH1656" s="84"/>
      <c r="AI1656" s="84"/>
      <c r="AL1656" s="84"/>
      <c r="AM1656" s="84"/>
      <c r="AN1656" s="84"/>
      <c r="AO1656" s="84"/>
      <c r="AP1656" s="84"/>
      <c r="AQ1656" s="84"/>
      <c r="AR1656" s="84"/>
      <c r="AS1656" s="84"/>
      <c r="AT1656" s="84"/>
      <c r="AU1656" s="84"/>
      <c r="AV1656" s="84"/>
      <c r="AY1656" s="84"/>
      <c r="AZ1656" s="84"/>
      <c r="BA1656" s="84"/>
      <c r="BB1656" s="84"/>
      <c r="BC1656" s="84"/>
      <c r="BD1656" s="84"/>
      <c r="BE1656" s="84"/>
      <c r="BF1656" s="942"/>
      <c r="BG1656" s="942"/>
      <c r="BH1656" s="942"/>
      <c r="BI1656" s="84"/>
      <c r="BL1656" s="84"/>
      <c r="BM1656" s="84"/>
      <c r="BN1656" s="84"/>
      <c r="BO1656" s="84"/>
      <c r="BP1656" s="84"/>
      <c r="BQ1656" s="84"/>
      <c r="BR1656" s="84"/>
      <c r="BS1656" s="942"/>
      <c r="BT1656" s="942"/>
      <c r="BU1656" s="942"/>
      <c r="BV1656" s="84"/>
    </row>
    <row r="1657" spans="14:74" ht="14.25">
      <c r="N1657" s="84"/>
      <c r="O1657" s="84"/>
      <c r="P1657" s="84"/>
      <c r="Q1657" s="84"/>
      <c r="R1657" s="84"/>
      <c r="S1657" s="84"/>
      <c r="T1657" s="84"/>
      <c r="U1657" s="84"/>
      <c r="V1657" s="84"/>
      <c r="W1657" s="84"/>
      <c r="Y1657" s="84"/>
      <c r="Z1657" s="84"/>
      <c r="AA1657" s="84"/>
      <c r="AB1657" s="84"/>
      <c r="AC1657" s="84"/>
      <c r="AD1657" s="84"/>
      <c r="AE1657" s="84"/>
      <c r="AF1657" s="84"/>
      <c r="AG1657" s="84"/>
      <c r="AH1657" s="84"/>
      <c r="AI1657" s="84"/>
      <c r="AL1657" s="84"/>
      <c r="AM1657" s="84"/>
      <c r="AN1657" s="84"/>
      <c r="AO1657" s="84"/>
      <c r="AP1657" s="84"/>
      <c r="AQ1657" s="84"/>
      <c r="AR1657" s="84"/>
      <c r="AS1657" s="84"/>
      <c r="AT1657" s="84"/>
      <c r="AU1657" s="84"/>
      <c r="AV1657" s="84"/>
      <c r="AY1657" s="84"/>
      <c r="AZ1657" s="84"/>
      <c r="BA1657" s="84"/>
      <c r="BB1657" s="84"/>
      <c r="BC1657" s="84"/>
      <c r="BD1657" s="84"/>
      <c r="BE1657" s="84"/>
      <c r="BF1657" s="942"/>
      <c r="BG1657" s="942"/>
      <c r="BH1657" s="942"/>
      <c r="BI1657" s="84"/>
      <c r="BL1657" s="84"/>
      <c r="BM1657" s="84"/>
      <c r="BN1657" s="84"/>
      <c r="BO1657" s="84"/>
      <c r="BP1657" s="84"/>
      <c r="BQ1657" s="84"/>
      <c r="BR1657" s="84"/>
      <c r="BS1657" s="942"/>
      <c r="BT1657" s="942"/>
      <c r="BU1657" s="942"/>
      <c r="BV1657" s="84"/>
    </row>
    <row r="1658" spans="14:74" ht="14.25">
      <c r="N1658" s="84"/>
      <c r="O1658" s="84"/>
      <c r="P1658" s="84"/>
      <c r="Q1658" s="84"/>
      <c r="R1658" s="84"/>
      <c r="S1658" s="84"/>
      <c r="T1658" s="84"/>
      <c r="U1658" s="84"/>
      <c r="V1658" s="84"/>
      <c r="W1658" s="84"/>
      <c r="Y1658" s="84"/>
      <c r="Z1658" s="84"/>
      <c r="AA1658" s="84"/>
      <c r="AB1658" s="84"/>
      <c r="AC1658" s="84"/>
      <c r="AD1658" s="84"/>
      <c r="AE1658" s="84"/>
      <c r="AF1658" s="84"/>
      <c r="AG1658" s="84"/>
      <c r="AH1658" s="84"/>
      <c r="AI1658" s="84"/>
      <c r="AL1658" s="84"/>
      <c r="AM1658" s="84"/>
      <c r="AN1658" s="84"/>
      <c r="AO1658" s="84"/>
      <c r="AP1658" s="84"/>
      <c r="AQ1658" s="84"/>
      <c r="AR1658" s="84"/>
      <c r="AS1658" s="84"/>
      <c r="AT1658" s="84"/>
      <c r="AU1658" s="84"/>
      <c r="AV1658" s="84"/>
      <c r="AY1658" s="84"/>
      <c r="AZ1658" s="84"/>
      <c r="BA1658" s="84"/>
      <c r="BB1658" s="84"/>
      <c r="BC1658" s="84"/>
      <c r="BD1658" s="84"/>
      <c r="BE1658" s="84"/>
      <c r="BF1658" s="942"/>
      <c r="BG1658" s="942"/>
      <c r="BH1658" s="942"/>
      <c r="BI1658" s="84"/>
      <c r="BL1658" s="84"/>
      <c r="BM1658" s="84"/>
      <c r="BN1658" s="84"/>
      <c r="BO1658" s="84"/>
      <c r="BP1658" s="84"/>
      <c r="BQ1658" s="84"/>
      <c r="BR1658" s="84"/>
      <c r="BS1658" s="942"/>
      <c r="BT1658" s="942"/>
      <c r="BU1658" s="942"/>
      <c r="BV1658" s="84"/>
    </row>
    <row r="1659" spans="14:74" ht="14.25">
      <c r="N1659" s="84"/>
      <c r="O1659" s="84"/>
      <c r="P1659" s="84"/>
      <c r="Q1659" s="84"/>
      <c r="R1659" s="84"/>
      <c r="S1659" s="84"/>
      <c r="T1659" s="84"/>
      <c r="U1659" s="84"/>
      <c r="V1659" s="84"/>
      <c r="W1659" s="84"/>
      <c r="Y1659" s="84"/>
      <c r="Z1659" s="84"/>
      <c r="AA1659" s="84"/>
      <c r="AB1659" s="84"/>
      <c r="AC1659" s="84"/>
      <c r="AD1659" s="84"/>
      <c r="AE1659" s="84"/>
      <c r="AF1659" s="84"/>
      <c r="AG1659" s="84"/>
      <c r="AH1659" s="84"/>
      <c r="AI1659" s="84"/>
      <c r="AL1659" s="84"/>
      <c r="AM1659" s="84"/>
      <c r="AN1659" s="84"/>
      <c r="AO1659" s="84"/>
      <c r="AP1659" s="84"/>
      <c r="AQ1659" s="84"/>
      <c r="AR1659" s="84"/>
      <c r="AS1659" s="84"/>
      <c r="AT1659" s="84"/>
      <c r="AU1659" s="84"/>
      <c r="AV1659" s="84"/>
      <c r="AY1659" s="84"/>
      <c r="AZ1659" s="84"/>
      <c r="BA1659" s="84"/>
      <c r="BB1659" s="84"/>
      <c r="BC1659" s="84"/>
      <c r="BD1659" s="84"/>
      <c r="BE1659" s="84"/>
      <c r="BF1659" s="942"/>
      <c r="BG1659" s="942"/>
      <c r="BH1659" s="942"/>
      <c r="BI1659" s="84"/>
      <c r="BL1659" s="84"/>
      <c r="BM1659" s="84"/>
      <c r="BN1659" s="84"/>
      <c r="BO1659" s="84"/>
      <c r="BP1659" s="84"/>
      <c r="BQ1659" s="84"/>
      <c r="BR1659" s="84"/>
      <c r="BS1659" s="942"/>
      <c r="BT1659" s="942"/>
      <c r="BU1659" s="942"/>
      <c r="BV1659" s="84"/>
    </row>
    <row r="1660" spans="14:74" ht="14.25">
      <c r="N1660" s="84"/>
      <c r="O1660" s="84"/>
      <c r="P1660" s="84"/>
      <c r="Q1660" s="84"/>
      <c r="R1660" s="84"/>
      <c r="S1660" s="84"/>
      <c r="T1660" s="84"/>
      <c r="U1660" s="84"/>
      <c r="V1660" s="84"/>
      <c r="W1660" s="84"/>
      <c r="Y1660" s="84"/>
      <c r="Z1660" s="84"/>
      <c r="AA1660" s="84"/>
      <c r="AB1660" s="84"/>
      <c r="AC1660" s="84"/>
      <c r="AD1660" s="84"/>
      <c r="AE1660" s="84"/>
      <c r="AF1660" s="84"/>
      <c r="AG1660" s="84"/>
      <c r="AH1660" s="84"/>
      <c r="AI1660" s="84"/>
      <c r="AL1660" s="84"/>
      <c r="AM1660" s="84"/>
      <c r="AN1660" s="84"/>
      <c r="AO1660" s="84"/>
      <c r="AP1660" s="84"/>
      <c r="AQ1660" s="84"/>
      <c r="AR1660" s="84"/>
      <c r="AS1660" s="84"/>
      <c r="AT1660" s="84"/>
      <c r="AU1660" s="84"/>
      <c r="AV1660" s="84"/>
      <c r="AY1660" s="84"/>
      <c r="AZ1660" s="84"/>
      <c r="BA1660" s="84"/>
      <c r="BB1660" s="84"/>
      <c r="BC1660" s="84"/>
      <c r="BD1660" s="84"/>
      <c r="BE1660" s="84"/>
      <c r="BF1660" s="942"/>
      <c r="BG1660" s="942"/>
      <c r="BH1660" s="942"/>
      <c r="BI1660" s="84"/>
      <c r="BL1660" s="84"/>
      <c r="BM1660" s="84"/>
      <c r="BN1660" s="84"/>
      <c r="BO1660" s="84"/>
      <c r="BP1660" s="84"/>
      <c r="BQ1660" s="84"/>
      <c r="BR1660" s="84"/>
      <c r="BS1660" s="942"/>
      <c r="BT1660" s="942"/>
      <c r="BU1660" s="942"/>
      <c r="BV1660" s="84"/>
    </row>
    <row r="1661" spans="14:74" ht="14.25">
      <c r="N1661" s="84"/>
      <c r="O1661" s="84"/>
      <c r="P1661" s="84"/>
      <c r="Q1661" s="84"/>
      <c r="R1661" s="84"/>
      <c r="S1661" s="84"/>
      <c r="T1661" s="84"/>
      <c r="U1661" s="84"/>
      <c r="V1661" s="84"/>
      <c r="W1661" s="84"/>
      <c r="Y1661" s="84"/>
      <c r="Z1661" s="84"/>
      <c r="AA1661" s="84"/>
      <c r="AB1661" s="84"/>
      <c r="AC1661" s="84"/>
      <c r="AD1661" s="84"/>
      <c r="AE1661" s="84"/>
      <c r="AF1661" s="84"/>
      <c r="AG1661" s="84"/>
      <c r="AH1661" s="84"/>
      <c r="AI1661" s="84"/>
      <c r="AL1661" s="84"/>
      <c r="AM1661" s="84"/>
      <c r="AN1661" s="84"/>
      <c r="AO1661" s="84"/>
      <c r="AP1661" s="84"/>
      <c r="AQ1661" s="84"/>
      <c r="AR1661" s="84"/>
      <c r="AS1661" s="84"/>
      <c r="AT1661" s="84"/>
      <c r="AU1661" s="84"/>
      <c r="AV1661" s="84"/>
      <c r="AY1661" s="84"/>
      <c r="AZ1661" s="84"/>
      <c r="BA1661" s="84"/>
      <c r="BB1661" s="84"/>
      <c r="BC1661" s="84"/>
      <c r="BD1661" s="84"/>
      <c r="BE1661" s="84"/>
      <c r="BF1661" s="942"/>
      <c r="BG1661" s="942"/>
      <c r="BH1661" s="942"/>
      <c r="BI1661" s="84"/>
      <c r="BL1661" s="84"/>
      <c r="BM1661" s="84"/>
      <c r="BN1661" s="84"/>
      <c r="BO1661" s="84"/>
      <c r="BP1661" s="84"/>
      <c r="BQ1661" s="84"/>
      <c r="BR1661" s="84"/>
      <c r="BS1661" s="942"/>
      <c r="BT1661" s="942"/>
      <c r="BU1661" s="942"/>
      <c r="BV1661" s="84"/>
    </row>
    <row r="1662" spans="14:74" ht="14.25">
      <c r="N1662" s="84"/>
      <c r="O1662" s="84"/>
      <c r="P1662" s="84"/>
      <c r="Q1662" s="84"/>
      <c r="R1662" s="84"/>
      <c r="S1662" s="84"/>
      <c r="T1662" s="84"/>
      <c r="U1662" s="84"/>
      <c r="V1662" s="84"/>
      <c r="W1662" s="84"/>
      <c r="Y1662" s="84"/>
      <c r="Z1662" s="84"/>
      <c r="AA1662" s="84"/>
      <c r="AB1662" s="84"/>
      <c r="AC1662" s="84"/>
      <c r="AD1662" s="84"/>
      <c r="AE1662" s="84"/>
      <c r="AF1662" s="84"/>
      <c r="AG1662" s="84"/>
      <c r="AH1662" s="84"/>
      <c r="AI1662" s="84"/>
      <c r="AL1662" s="84"/>
      <c r="AM1662" s="84"/>
      <c r="AN1662" s="84"/>
      <c r="AO1662" s="84"/>
      <c r="AP1662" s="84"/>
      <c r="AQ1662" s="84"/>
      <c r="AR1662" s="84"/>
      <c r="AS1662" s="84"/>
      <c r="AT1662" s="84"/>
      <c r="AU1662" s="84"/>
      <c r="AV1662" s="84"/>
      <c r="AY1662" s="84"/>
      <c r="AZ1662" s="84"/>
      <c r="BA1662" s="84"/>
      <c r="BB1662" s="84"/>
      <c r="BC1662" s="84"/>
      <c r="BD1662" s="84"/>
      <c r="BE1662" s="84"/>
      <c r="BF1662" s="942"/>
      <c r="BG1662" s="942"/>
      <c r="BH1662" s="942"/>
      <c r="BI1662" s="84"/>
      <c r="BL1662" s="84"/>
      <c r="BM1662" s="84"/>
      <c r="BN1662" s="84"/>
      <c r="BO1662" s="84"/>
      <c r="BP1662" s="84"/>
      <c r="BQ1662" s="84"/>
      <c r="BR1662" s="84"/>
      <c r="BS1662" s="942"/>
      <c r="BT1662" s="942"/>
      <c r="BU1662" s="942"/>
      <c r="BV1662" s="84"/>
    </row>
    <row r="1663" spans="14:74" ht="14.25">
      <c r="N1663" s="84"/>
      <c r="O1663" s="84"/>
      <c r="P1663" s="84"/>
      <c r="Q1663" s="84"/>
      <c r="R1663" s="84"/>
      <c r="S1663" s="84"/>
      <c r="T1663" s="84"/>
      <c r="U1663" s="84"/>
      <c r="V1663" s="84"/>
      <c r="W1663" s="84"/>
      <c r="Y1663" s="84"/>
      <c r="Z1663" s="84"/>
      <c r="AA1663" s="84"/>
      <c r="AB1663" s="84"/>
      <c r="AC1663" s="84"/>
      <c r="AD1663" s="84"/>
      <c r="AE1663" s="84"/>
      <c r="AF1663" s="84"/>
      <c r="AG1663" s="84"/>
      <c r="AH1663" s="84"/>
      <c r="AI1663" s="84"/>
      <c r="AL1663" s="84"/>
      <c r="AM1663" s="84"/>
      <c r="AN1663" s="84"/>
      <c r="AO1663" s="84"/>
      <c r="AP1663" s="84"/>
      <c r="AQ1663" s="84"/>
      <c r="AR1663" s="84"/>
      <c r="AS1663" s="84"/>
      <c r="AT1663" s="84"/>
      <c r="AU1663" s="84"/>
      <c r="AV1663" s="84"/>
      <c r="AY1663" s="84"/>
      <c r="AZ1663" s="84"/>
      <c r="BA1663" s="84"/>
      <c r="BB1663" s="84"/>
      <c r="BC1663" s="84"/>
      <c r="BD1663" s="84"/>
      <c r="BE1663" s="84"/>
      <c r="BF1663" s="942"/>
      <c r="BG1663" s="942"/>
      <c r="BH1663" s="942"/>
      <c r="BI1663" s="84"/>
      <c r="BL1663" s="84"/>
      <c r="BM1663" s="84"/>
      <c r="BN1663" s="84"/>
      <c r="BO1663" s="84"/>
      <c r="BP1663" s="84"/>
      <c r="BQ1663" s="84"/>
      <c r="BR1663" s="84"/>
      <c r="BS1663" s="942"/>
      <c r="BT1663" s="942"/>
      <c r="BU1663" s="942"/>
      <c r="BV1663" s="84"/>
    </row>
    <row r="1664" spans="14:74" ht="14.25">
      <c r="N1664" s="84"/>
      <c r="O1664" s="84"/>
      <c r="P1664" s="84"/>
      <c r="Q1664" s="84"/>
      <c r="R1664" s="84"/>
      <c r="S1664" s="84"/>
      <c r="T1664" s="84"/>
      <c r="U1664" s="84"/>
      <c r="V1664" s="84"/>
      <c r="W1664" s="84"/>
      <c r="Y1664" s="84"/>
      <c r="Z1664" s="84"/>
      <c r="AA1664" s="84"/>
      <c r="AB1664" s="84"/>
      <c r="AC1664" s="84"/>
      <c r="AD1664" s="84"/>
      <c r="AE1664" s="84"/>
      <c r="AF1664" s="84"/>
      <c r="AG1664" s="84"/>
      <c r="AH1664" s="84"/>
      <c r="AI1664" s="84"/>
      <c r="AL1664" s="84"/>
      <c r="AM1664" s="84"/>
      <c r="AN1664" s="84"/>
      <c r="AO1664" s="84"/>
      <c r="AP1664" s="84"/>
      <c r="AQ1664" s="84"/>
      <c r="AR1664" s="84"/>
      <c r="AS1664" s="84"/>
      <c r="AT1664" s="84"/>
      <c r="AU1664" s="84"/>
      <c r="AV1664" s="84"/>
      <c r="AY1664" s="84"/>
      <c r="AZ1664" s="84"/>
      <c r="BA1664" s="84"/>
      <c r="BB1664" s="84"/>
      <c r="BC1664" s="84"/>
      <c r="BD1664" s="84"/>
      <c r="BE1664" s="84"/>
      <c r="BF1664" s="942"/>
      <c r="BG1664" s="942"/>
      <c r="BH1664" s="942"/>
      <c r="BI1664" s="84"/>
      <c r="BL1664" s="84"/>
      <c r="BM1664" s="84"/>
      <c r="BN1664" s="84"/>
      <c r="BO1664" s="84"/>
      <c r="BP1664" s="84"/>
      <c r="BQ1664" s="84"/>
      <c r="BR1664" s="84"/>
      <c r="BS1664" s="942"/>
      <c r="BT1664" s="942"/>
      <c r="BU1664" s="942"/>
      <c r="BV1664" s="84"/>
    </row>
    <row r="1665" spans="14:74" ht="14.25">
      <c r="N1665" s="84"/>
      <c r="O1665" s="84"/>
      <c r="P1665" s="84"/>
      <c r="Q1665" s="84"/>
      <c r="R1665" s="84"/>
      <c r="S1665" s="84"/>
      <c r="T1665" s="84"/>
      <c r="U1665" s="84"/>
      <c r="V1665" s="84"/>
      <c r="W1665" s="84"/>
      <c r="Y1665" s="84"/>
      <c r="Z1665" s="84"/>
      <c r="AA1665" s="84"/>
      <c r="AB1665" s="84"/>
      <c r="AC1665" s="84"/>
      <c r="AD1665" s="84"/>
      <c r="AE1665" s="84"/>
      <c r="AF1665" s="84"/>
      <c r="AG1665" s="84"/>
      <c r="AH1665" s="84"/>
      <c r="AI1665" s="84"/>
      <c r="AL1665" s="84"/>
      <c r="AM1665" s="84"/>
      <c r="AN1665" s="84"/>
      <c r="AO1665" s="84"/>
      <c r="AP1665" s="84"/>
      <c r="AQ1665" s="84"/>
      <c r="AR1665" s="84"/>
      <c r="AS1665" s="84"/>
      <c r="AT1665" s="84"/>
      <c r="AU1665" s="84"/>
      <c r="AV1665" s="84"/>
      <c r="AY1665" s="84"/>
      <c r="AZ1665" s="84"/>
      <c r="BA1665" s="84"/>
      <c r="BB1665" s="84"/>
      <c r="BC1665" s="84"/>
      <c r="BD1665" s="84"/>
      <c r="BE1665" s="84"/>
      <c r="BF1665" s="942"/>
      <c r="BG1665" s="942"/>
      <c r="BH1665" s="942"/>
      <c r="BI1665" s="84"/>
      <c r="BL1665" s="84"/>
      <c r="BM1665" s="84"/>
      <c r="BN1665" s="84"/>
      <c r="BO1665" s="84"/>
      <c r="BP1665" s="84"/>
      <c r="BQ1665" s="84"/>
      <c r="BR1665" s="84"/>
      <c r="BS1665" s="942"/>
      <c r="BT1665" s="942"/>
      <c r="BU1665" s="942"/>
      <c r="BV1665" s="84"/>
    </row>
    <row r="1666" spans="14:74" ht="14.25">
      <c r="N1666" s="84"/>
      <c r="O1666" s="84"/>
      <c r="P1666" s="84"/>
      <c r="Q1666" s="84"/>
      <c r="R1666" s="84"/>
      <c r="S1666" s="84"/>
      <c r="T1666" s="84"/>
      <c r="U1666" s="84"/>
      <c r="V1666" s="84"/>
      <c r="W1666" s="84"/>
      <c r="Y1666" s="84"/>
      <c r="Z1666" s="84"/>
      <c r="AA1666" s="84"/>
      <c r="AB1666" s="84"/>
      <c r="AC1666" s="84"/>
      <c r="AD1666" s="84"/>
      <c r="AE1666" s="84"/>
      <c r="AF1666" s="84"/>
      <c r="AG1666" s="84"/>
      <c r="AH1666" s="84"/>
      <c r="AI1666" s="84"/>
      <c r="AL1666" s="84"/>
      <c r="AM1666" s="84"/>
      <c r="AN1666" s="84"/>
      <c r="AO1666" s="84"/>
      <c r="AP1666" s="84"/>
      <c r="AQ1666" s="84"/>
      <c r="AR1666" s="84"/>
      <c r="AS1666" s="84"/>
      <c r="AT1666" s="84"/>
      <c r="AU1666" s="84"/>
      <c r="AV1666" s="84"/>
      <c r="AY1666" s="84"/>
      <c r="AZ1666" s="84"/>
      <c r="BA1666" s="84"/>
      <c r="BB1666" s="84"/>
      <c r="BC1666" s="84"/>
      <c r="BD1666" s="84"/>
      <c r="BE1666" s="84"/>
      <c r="BF1666" s="942"/>
      <c r="BG1666" s="942"/>
      <c r="BH1666" s="942"/>
      <c r="BI1666" s="84"/>
      <c r="BL1666" s="84"/>
      <c r="BM1666" s="84"/>
      <c r="BN1666" s="84"/>
      <c r="BO1666" s="84"/>
      <c r="BP1666" s="84"/>
      <c r="BQ1666" s="84"/>
      <c r="BR1666" s="84"/>
      <c r="BS1666" s="942"/>
      <c r="BT1666" s="942"/>
      <c r="BU1666" s="942"/>
      <c r="BV1666" s="84"/>
    </row>
    <row r="1667" spans="14:74" ht="14.25">
      <c r="N1667" s="84"/>
      <c r="O1667" s="84"/>
      <c r="P1667" s="84"/>
      <c r="Q1667" s="84"/>
      <c r="R1667" s="84"/>
      <c r="S1667" s="84"/>
      <c r="T1667" s="84"/>
      <c r="U1667" s="84"/>
      <c r="V1667" s="84"/>
      <c r="W1667" s="84"/>
      <c r="Y1667" s="84"/>
      <c r="Z1667" s="84"/>
      <c r="AA1667" s="84"/>
      <c r="AB1667" s="84"/>
      <c r="AC1667" s="84"/>
      <c r="AD1667" s="84"/>
      <c r="AE1667" s="84"/>
      <c r="AF1667" s="84"/>
      <c r="AG1667" s="84"/>
      <c r="AH1667" s="84"/>
      <c r="AI1667" s="84"/>
      <c r="AL1667" s="84"/>
      <c r="AM1667" s="84"/>
      <c r="AN1667" s="84"/>
      <c r="AO1667" s="84"/>
      <c r="AP1667" s="84"/>
      <c r="AQ1667" s="84"/>
      <c r="AR1667" s="84"/>
      <c r="AS1667" s="84"/>
      <c r="AT1667" s="84"/>
      <c r="AU1667" s="84"/>
      <c r="AV1667" s="84"/>
      <c r="AY1667" s="84"/>
      <c r="AZ1667" s="84"/>
      <c r="BA1667" s="84"/>
      <c r="BB1667" s="84"/>
      <c r="BC1667" s="84"/>
      <c r="BD1667" s="84"/>
      <c r="BE1667" s="84"/>
      <c r="BF1667" s="942"/>
      <c r="BG1667" s="942"/>
      <c r="BH1667" s="942"/>
      <c r="BI1667" s="84"/>
      <c r="BL1667" s="84"/>
      <c r="BM1667" s="84"/>
      <c r="BN1667" s="84"/>
      <c r="BO1667" s="84"/>
      <c r="BP1667" s="84"/>
      <c r="BQ1667" s="84"/>
      <c r="BR1667" s="84"/>
      <c r="BS1667" s="942"/>
      <c r="BT1667" s="942"/>
      <c r="BU1667" s="942"/>
      <c r="BV1667" s="84"/>
    </row>
    <row r="1668" spans="14:74" ht="14.25">
      <c r="N1668" s="84"/>
      <c r="O1668" s="84"/>
      <c r="P1668" s="84"/>
      <c r="Q1668" s="84"/>
      <c r="R1668" s="84"/>
      <c r="S1668" s="84"/>
      <c r="T1668" s="84"/>
      <c r="U1668" s="84"/>
      <c r="V1668" s="84"/>
      <c r="W1668" s="84"/>
      <c r="Y1668" s="84"/>
      <c r="Z1668" s="84"/>
      <c r="AA1668" s="84"/>
      <c r="AB1668" s="84"/>
      <c r="AC1668" s="84"/>
      <c r="AD1668" s="84"/>
      <c r="AE1668" s="84"/>
      <c r="AF1668" s="84"/>
      <c r="AG1668" s="84"/>
      <c r="AH1668" s="84"/>
      <c r="AI1668" s="84"/>
      <c r="AL1668" s="84"/>
      <c r="AM1668" s="84"/>
      <c r="AN1668" s="84"/>
      <c r="AO1668" s="84"/>
      <c r="AP1668" s="84"/>
      <c r="AQ1668" s="84"/>
      <c r="AR1668" s="84"/>
      <c r="AS1668" s="84"/>
      <c r="AT1668" s="84"/>
      <c r="AU1668" s="84"/>
      <c r="AV1668" s="84"/>
      <c r="AY1668" s="84"/>
      <c r="AZ1668" s="84"/>
      <c r="BA1668" s="84"/>
      <c r="BB1668" s="84"/>
      <c r="BC1668" s="84"/>
      <c r="BD1668" s="84"/>
      <c r="BE1668" s="84"/>
      <c r="BF1668" s="942"/>
      <c r="BG1668" s="942"/>
      <c r="BH1668" s="942"/>
      <c r="BI1668" s="84"/>
      <c r="BL1668" s="84"/>
      <c r="BM1668" s="84"/>
      <c r="BN1668" s="84"/>
      <c r="BO1668" s="84"/>
      <c r="BP1668" s="84"/>
      <c r="BQ1668" s="84"/>
      <c r="BR1668" s="84"/>
      <c r="BS1668" s="942"/>
      <c r="BT1668" s="942"/>
      <c r="BU1668" s="942"/>
      <c r="BV1668" s="84"/>
    </row>
    <row r="1669" spans="14:74" ht="14.25">
      <c r="N1669" s="84"/>
      <c r="O1669" s="84"/>
      <c r="P1669" s="84"/>
      <c r="Q1669" s="84"/>
      <c r="R1669" s="84"/>
      <c r="S1669" s="84"/>
      <c r="T1669" s="84"/>
      <c r="U1669" s="84"/>
      <c r="V1669" s="84"/>
      <c r="W1669" s="84"/>
      <c r="Y1669" s="84"/>
      <c r="Z1669" s="84"/>
      <c r="AA1669" s="84"/>
      <c r="AB1669" s="84"/>
      <c r="AC1669" s="84"/>
      <c r="AD1669" s="84"/>
      <c r="AE1669" s="84"/>
      <c r="AF1669" s="84"/>
      <c r="AG1669" s="84"/>
      <c r="AH1669" s="84"/>
      <c r="AI1669" s="84"/>
      <c r="AL1669" s="84"/>
      <c r="AM1669" s="84"/>
      <c r="AN1669" s="84"/>
      <c r="AO1669" s="84"/>
      <c r="AP1669" s="84"/>
      <c r="AQ1669" s="84"/>
      <c r="AR1669" s="84"/>
      <c r="AS1669" s="84"/>
      <c r="AT1669" s="84"/>
      <c r="AU1669" s="84"/>
      <c r="AV1669" s="84"/>
      <c r="AY1669" s="84"/>
      <c r="AZ1669" s="84"/>
      <c r="BA1669" s="84"/>
      <c r="BB1669" s="84"/>
      <c r="BC1669" s="84"/>
      <c r="BD1669" s="84"/>
      <c r="BE1669" s="84"/>
      <c r="BF1669" s="942"/>
      <c r="BG1669" s="942"/>
      <c r="BH1669" s="942"/>
      <c r="BI1669" s="84"/>
      <c r="BL1669" s="84"/>
      <c r="BM1669" s="84"/>
      <c r="BN1669" s="84"/>
      <c r="BO1669" s="84"/>
      <c r="BP1669" s="84"/>
      <c r="BQ1669" s="84"/>
      <c r="BR1669" s="84"/>
      <c r="BS1669" s="942"/>
      <c r="BT1669" s="942"/>
      <c r="BU1669" s="942"/>
      <c r="BV1669" s="84"/>
    </row>
    <row r="1670" spans="14:74" ht="14.25">
      <c r="N1670" s="84"/>
      <c r="O1670" s="84"/>
      <c r="P1670" s="84"/>
      <c r="Q1670" s="84"/>
      <c r="R1670" s="84"/>
      <c r="S1670" s="84"/>
      <c r="T1670" s="84"/>
      <c r="U1670" s="84"/>
      <c r="V1670" s="84"/>
      <c r="W1670" s="84"/>
      <c r="Y1670" s="84"/>
      <c r="Z1670" s="84"/>
      <c r="AA1670" s="84"/>
      <c r="AB1670" s="84"/>
      <c r="AC1670" s="84"/>
      <c r="AD1670" s="84"/>
      <c r="AE1670" s="84"/>
      <c r="AF1670" s="84"/>
      <c r="AG1670" s="84"/>
      <c r="AH1670" s="84"/>
      <c r="AI1670" s="84"/>
      <c r="AL1670" s="84"/>
      <c r="AM1670" s="84"/>
      <c r="AN1670" s="84"/>
      <c r="AO1670" s="84"/>
      <c r="AP1670" s="84"/>
      <c r="AQ1670" s="84"/>
      <c r="AR1670" s="84"/>
      <c r="AS1670" s="84"/>
      <c r="AT1670" s="84"/>
      <c r="AU1670" s="84"/>
      <c r="AV1670" s="84"/>
      <c r="AY1670" s="84"/>
      <c r="AZ1670" s="84"/>
      <c r="BA1670" s="84"/>
      <c r="BB1670" s="84"/>
      <c r="BC1670" s="84"/>
      <c r="BD1670" s="84"/>
      <c r="BE1670" s="84"/>
      <c r="BF1670" s="942"/>
      <c r="BG1670" s="942"/>
      <c r="BH1670" s="942"/>
      <c r="BI1670" s="84"/>
      <c r="BL1670" s="84"/>
      <c r="BM1670" s="84"/>
      <c r="BN1670" s="84"/>
      <c r="BO1670" s="84"/>
      <c r="BP1670" s="84"/>
      <c r="BQ1670" s="84"/>
      <c r="BR1670" s="84"/>
      <c r="BS1670" s="942"/>
      <c r="BT1670" s="942"/>
      <c r="BU1670" s="942"/>
      <c r="BV1670" s="84"/>
    </row>
    <row r="1671" spans="14:74" ht="14.25">
      <c r="N1671" s="84"/>
      <c r="O1671" s="84"/>
      <c r="P1671" s="84"/>
      <c r="Q1671" s="84"/>
      <c r="R1671" s="84"/>
      <c r="S1671" s="84"/>
      <c r="T1671" s="84"/>
      <c r="U1671" s="84"/>
      <c r="V1671" s="84"/>
      <c r="W1671" s="84"/>
      <c r="Y1671" s="84"/>
      <c r="Z1671" s="84"/>
      <c r="AA1671" s="84"/>
      <c r="AB1671" s="84"/>
      <c r="AC1671" s="84"/>
      <c r="AD1671" s="84"/>
      <c r="AE1671" s="84"/>
      <c r="AF1671" s="84"/>
      <c r="AG1671" s="84"/>
      <c r="AH1671" s="84"/>
      <c r="AI1671" s="84"/>
      <c r="AL1671" s="84"/>
      <c r="AM1671" s="84"/>
      <c r="AN1671" s="84"/>
      <c r="AO1671" s="84"/>
      <c r="AP1671" s="84"/>
      <c r="AQ1671" s="84"/>
      <c r="AR1671" s="84"/>
      <c r="AS1671" s="84"/>
      <c r="AT1671" s="84"/>
      <c r="AU1671" s="84"/>
      <c r="AV1671" s="84"/>
      <c r="AY1671" s="84"/>
      <c r="AZ1671" s="84"/>
      <c r="BA1671" s="84"/>
      <c r="BB1671" s="84"/>
      <c r="BC1671" s="84"/>
      <c r="BD1671" s="84"/>
      <c r="BE1671" s="84"/>
      <c r="BF1671" s="942"/>
      <c r="BG1671" s="942"/>
      <c r="BH1671" s="942"/>
      <c r="BI1671" s="84"/>
      <c r="BL1671" s="84"/>
      <c r="BM1671" s="84"/>
      <c r="BN1671" s="84"/>
      <c r="BO1671" s="84"/>
      <c r="BP1671" s="84"/>
      <c r="BQ1671" s="84"/>
      <c r="BR1671" s="84"/>
      <c r="BS1671" s="942"/>
      <c r="BT1671" s="942"/>
      <c r="BU1671" s="942"/>
      <c r="BV1671" s="84"/>
    </row>
    <row r="1672" spans="14:74" ht="14.25">
      <c r="N1672" s="84"/>
      <c r="O1672" s="84"/>
      <c r="P1672" s="84"/>
      <c r="Q1672" s="84"/>
      <c r="R1672" s="84"/>
      <c r="S1672" s="84"/>
      <c r="T1672" s="84"/>
      <c r="U1672" s="84"/>
      <c r="V1672" s="84"/>
      <c r="W1672" s="84"/>
      <c r="Y1672" s="84"/>
      <c r="Z1672" s="84"/>
      <c r="AA1672" s="84"/>
      <c r="AB1672" s="84"/>
      <c r="AC1672" s="84"/>
      <c r="AD1672" s="84"/>
      <c r="AE1672" s="84"/>
      <c r="AF1672" s="84"/>
      <c r="AG1672" s="84"/>
      <c r="AH1672" s="84"/>
      <c r="AI1672" s="84"/>
      <c r="AL1672" s="84"/>
      <c r="AM1672" s="84"/>
      <c r="AN1672" s="84"/>
      <c r="AO1672" s="84"/>
      <c r="AP1672" s="84"/>
      <c r="AQ1672" s="84"/>
      <c r="AR1672" s="84"/>
      <c r="AS1672" s="84"/>
      <c r="AT1672" s="84"/>
      <c r="AU1672" s="84"/>
      <c r="AV1672" s="84"/>
      <c r="AY1672" s="84"/>
      <c r="AZ1672" s="84"/>
      <c r="BA1672" s="84"/>
      <c r="BB1672" s="84"/>
      <c r="BC1672" s="84"/>
      <c r="BD1672" s="84"/>
      <c r="BE1672" s="84"/>
      <c r="BF1672" s="942"/>
      <c r="BG1672" s="942"/>
      <c r="BH1672" s="942"/>
      <c r="BI1672" s="84"/>
      <c r="BL1672" s="84"/>
      <c r="BM1672" s="84"/>
      <c r="BN1672" s="84"/>
      <c r="BO1672" s="84"/>
      <c r="BP1672" s="84"/>
      <c r="BQ1672" s="84"/>
      <c r="BR1672" s="84"/>
      <c r="BS1672" s="942"/>
      <c r="BT1672" s="942"/>
      <c r="BU1672" s="942"/>
      <c r="BV1672" s="84"/>
    </row>
    <row r="1673" spans="14:74" ht="14.25">
      <c r="N1673" s="84"/>
      <c r="O1673" s="84"/>
      <c r="P1673" s="84"/>
      <c r="Q1673" s="84"/>
      <c r="R1673" s="84"/>
      <c r="S1673" s="84"/>
      <c r="T1673" s="84"/>
      <c r="U1673" s="84"/>
      <c r="V1673" s="84"/>
      <c r="W1673" s="84"/>
      <c r="Y1673" s="84"/>
      <c r="Z1673" s="84"/>
      <c r="AA1673" s="84"/>
      <c r="AB1673" s="84"/>
      <c r="AC1673" s="84"/>
      <c r="AD1673" s="84"/>
      <c r="AE1673" s="84"/>
      <c r="AF1673" s="84"/>
      <c r="AG1673" s="84"/>
      <c r="AH1673" s="84"/>
      <c r="AI1673" s="84"/>
      <c r="AL1673" s="84"/>
      <c r="AM1673" s="84"/>
      <c r="AN1673" s="84"/>
      <c r="AO1673" s="84"/>
      <c r="AP1673" s="84"/>
      <c r="AQ1673" s="84"/>
      <c r="AR1673" s="84"/>
      <c r="AS1673" s="84"/>
      <c r="AT1673" s="84"/>
      <c r="AU1673" s="84"/>
      <c r="AV1673" s="84"/>
      <c r="AY1673" s="84"/>
      <c r="AZ1673" s="84"/>
      <c r="BA1673" s="84"/>
      <c r="BB1673" s="84"/>
      <c r="BC1673" s="84"/>
      <c r="BD1673" s="84"/>
      <c r="BE1673" s="84"/>
      <c r="BF1673" s="942"/>
      <c r="BG1673" s="942"/>
      <c r="BH1673" s="942"/>
      <c r="BI1673" s="84"/>
      <c r="BL1673" s="84"/>
      <c r="BM1673" s="84"/>
      <c r="BN1673" s="84"/>
      <c r="BO1673" s="84"/>
      <c r="BP1673" s="84"/>
      <c r="BQ1673" s="84"/>
      <c r="BR1673" s="84"/>
      <c r="BS1673" s="942"/>
      <c r="BT1673" s="942"/>
      <c r="BU1673" s="942"/>
      <c r="BV1673" s="84"/>
    </row>
    <row r="1674" spans="14:74" ht="14.25">
      <c r="N1674" s="84"/>
      <c r="O1674" s="84"/>
      <c r="P1674" s="84"/>
      <c r="Q1674" s="84"/>
      <c r="R1674" s="84"/>
      <c r="S1674" s="84"/>
      <c r="T1674" s="84"/>
      <c r="U1674" s="84"/>
      <c r="V1674" s="84"/>
      <c r="W1674" s="84"/>
      <c r="Y1674" s="84"/>
      <c r="Z1674" s="84"/>
      <c r="AA1674" s="84"/>
      <c r="AB1674" s="84"/>
      <c r="AC1674" s="84"/>
      <c r="AD1674" s="84"/>
      <c r="AE1674" s="84"/>
      <c r="AF1674" s="84"/>
      <c r="AG1674" s="84"/>
      <c r="AH1674" s="84"/>
      <c r="AI1674" s="84"/>
      <c r="AL1674" s="84"/>
      <c r="AM1674" s="84"/>
      <c r="AN1674" s="84"/>
      <c r="AO1674" s="84"/>
      <c r="AP1674" s="84"/>
      <c r="AQ1674" s="84"/>
      <c r="AR1674" s="84"/>
      <c r="AS1674" s="84"/>
      <c r="AT1674" s="84"/>
      <c r="AU1674" s="84"/>
      <c r="AV1674" s="84"/>
      <c r="AY1674" s="84"/>
      <c r="AZ1674" s="84"/>
      <c r="BA1674" s="84"/>
      <c r="BB1674" s="84"/>
      <c r="BC1674" s="84"/>
      <c r="BD1674" s="84"/>
      <c r="BE1674" s="84"/>
      <c r="BF1674" s="942"/>
      <c r="BG1674" s="942"/>
      <c r="BH1674" s="942"/>
      <c r="BI1674" s="84"/>
      <c r="BL1674" s="84"/>
      <c r="BM1674" s="84"/>
      <c r="BN1674" s="84"/>
      <c r="BO1674" s="84"/>
      <c r="BP1674" s="84"/>
      <c r="BQ1674" s="84"/>
      <c r="BR1674" s="84"/>
      <c r="BS1674" s="942"/>
      <c r="BT1674" s="942"/>
      <c r="BU1674" s="942"/>
      <c r="BV1674" s="84"/>
    </row>
    <row r="1675" spans="14:74" ht="14.25">
      <c r="N1675" s="84"/>
      <c r="O1675" s="84"/>
      <c r="P1675" s="84"/>
      <c r="Q1675" s="84"/>
      <c r="R1675" s="84"/>
      <c r="S1675" s="84"/>
      <c r="T1675" s="84"/>
      <c r="U1675" s="84"/>
      <c r="V1675" s="84"/>
      <c r="W1675" s="84"/>
      <c r="Y1675" s="84"/>
      <c r="Z1675" s="84"/>
      <c r="AA1675" s="84"/>
      <c r="AB1675" s="84"/>
      <c r="AC1675" s="84"/>
      <c r="AD1675" s="84"/>
      <c r="AE1675" s="84"/>
      <c r="AF1675" s="84"/>
      <c r="AG1675" s="84"/>
      <c r="AH1675" s="84"/>
      <c r="AI1675" s="84"/>
      <c r="AL1675" s="84"/>
      <c r="AM1675" s="84"/>
      <c r="AN1675" s="84"/>
      <c r="AO1675" s="84"/>
      <c r="AP1675" s="84"/>
      <c r="AQ1675" s="84"/>
      <c r="AR1675" s="84"/>
      <c r="AS1675" s="84"/>
      <c r="AT1675" s="84"/>
      <c r="AU1675" s="84"/>
      <c r="AV1675" s="84"/>
      <c r="AY1675" s="84"/>
      <c r="AZ1675" s="84"/>
      <c r="BA1675" s="84"/>
      <c r="BB1675" s="84"/>
      <c r="BC1675" s="84"/>
      <c r="BD1675" s="84"/>
      <c r="BE1675" s="84"/>
      <c r="BF1675" s="942"/>
      <c r="BG1675" s="942"/>
      <c r="BH1675" s="942"/>
      <c r="BI1675" s="84"/>
      <c r="BL1675" s="84"/>
      <c r="BM1675" s="84"/>
      <c r="BN1675" s="84"/>
      <c r="BO1675" s="84"/>
      <c r="BP1675" s="84"/>
      <c r="BQ1675" s="84"/>
      <c r="BR1675" s="84"/>
      <c r="BS1675" s="942"/>
      <c r="BT1675" s="942"/>
      <c r="BU1675" s="942"/>
      <c r="BV1675" s="84"/>
    </row>
    <row r="1676" spans="14:74" ht="14.25">
      <c r="N1676" s="84"/>
      <c r="O1676" s="84"/>
      <c r="P1676" s="84"/>
      <c r="Q1676" s="84"/>
      <c r="R1676" s="84"/>
      <c r="S1676" s="84"/>
      <c r="T1676" s="84"/>
      <c r="U1676" s="84"/>
      <c r="V1676" s="84"/>
      <c r="W1676" s="84"/>
      <c r="Y1676" s="84"/>
      <c r="Z1676" s="84"/>
      <c r="AA1676" s="84"/>
      <c r="AB1676" s="84"/>
      <c r="AC1676" s="84"/>
      <c r="AD1676" s="84"/>
      <c r="AE1676" s="84"/>
      <c r="AF1676" s="84"/>
      <c r="AG1676" s="84"/>
      <c r="AH1676" s="84"/>
      <c r="AI1676" s="84"/>
      <c r="AL1676" s="84"/>
      <c r="AM1676" s="84"/>
      <c r="AN1676" s="84"/>
      <c r="AO1676" s="84"/>
      <c r="AP1676" s="84"/>
      <c r="AQ1676" s="84"/>
      <c r="AR1676" s="84"/>
      <c r="AS1676" s="84"/>
      <c r="AT1676" s="84"/>
      <c r="AU1676" s="84"/>
      <c r="AV1676" s="84"/>
      <c r="AY1676" s="84"/>
      <c r="AZ1676" s="84"/>
      <c r="BA1676" s="84"/>
      <c r="BB1676" s="84"/>
      <c r="BC1676" s="84"/>
      <c r="BD1676" s="84"/>
      <c r="BE1676" s="84"/>
      <c r="BF1676" s="942"/>
      <c r="BG1676" s="942"/>
      <c r="BH1676" s="942"/>
      <c r="BI1676" s="84"/>
      <c r="BL1676" s="84"/>
      <c r="BM1676" s="84"/>
      <c r="BN1676" s="84"/>
      <c r="BO1676" s="84"/>
      <c r="BP1676" s="84"/>
      <c r="BQ1676" s="84"/>
      <c r="BR1676" s="84"/>
      <c r="BS1676" s="942"/>
      <c r="BT1676" s="942"/>
      <c r="BU1676" s="942"/>
      <c r="BV1676" s="84"/>
    </row>
    <row r="1677" spans="14:74" ht="14.25">
      <c r="N1677" s="84"/>
      <c r="O1677" s="84"/>
      <c r="P1677" s="84"/>
      <c r="Q1677" s="84"/>
      <c r="R1677" s="84"/>
      <c r="S1677" s="84"/>
      <c r="T1677" s="84"/>
      <c r="U1677" s="84"/>
      <c r="V1677" s="84"/>
      <c r="W1677" s="84"/>
      <c r="Y1677" s="84"/>
      <c r="Z1677" s="84"/>
      <c r="AA1677" s="84"/>
      <c r="AB1677" s="84"/>
      <c r="AC1677" s="84"/>
      <c r="AD1677" s="84"/>
      <c r="AE1677" s="84"/>
      <c r="AF1677" s="84"/>
      <c r="AG1677" s="84"/>
      <c r="AH1677" s="84"/>
      <c r="AI1677" s="84"/>
      <c r="AL1677" s="84"/>
      <c r="AM1677" s="84"/>
      <c r="AN1677" s="84"/>
      <c r="AO1677" s="84"/>
      <c r="AP1677" s="84"/>
      <c r="AQ1677" s="84"/>
      <c r="AR1677" s="84"/>
      <c r="AS1677" s="84"/>
      <c r="AT1677" s="84"/>
      <c r="AU1677" s="84"/>
      <c r="AV1677" s="84"/>
      <c r="AY1677" s="84"/>
      <c r="AZ1677" s="84"/>
      <c r="BA1677" s="84"/>
      <c r="BB1677" s="84"/>
      <c r="BC1677" s="84"/>
      <c r="BD1677" s="84"/>
      <c r="BE1677" s="84"/>
      <c r="BF1677" s="942"/>
      <c r="BG1677" s="942"/>
      <c r="BH1677" s="942"/>
      <c r="BI1677" s="84"/>
      <c r="BL1677" s="84"/>
      <c r="BM1677" s="84"/>
      <c r="BN1677" s="84"/>
      <c r="BO1677" s="84"/>
      <c r="BP1677" s="84"/>
      <c r="BQ1677" s="84"/>
      <c r="BR1677" s="84"/>
      <c r="BS1677" s="942"/>
      <c r="BT1677" s="942"/>
      <c r="BU1677" s="942"/>
      <c r="BV1677" s="84"/>
    </row>
    <row r="1678" spans="14:74" ht="14.25">
      <c r="N1678" s="84"/>
      <c r="O1678" s="84"/>
      <c r="P1678" s="84"/>
      <c r="Q1678" s="84"/>
      <c r="R1678" s="84"/>
      <c r="S1678" s="84"/>
      <c r="T1678" s="84"/>
      <c r="U1678" s="84"/>
      <c r="V1678" s="84"/>
      <c r="W1678" s="84"/>
      <c r="Y1678" s="84"/>
      <c r="Z1678" s="84"/>
      <c r="AA1678" s="84"/>
      <c r="AB1678" s="84"/>
      <c r="AC1678" s="84"/>
      <c r="AD1678" s="84"/>
      <c r="AE1678" s="84"/>
      <c r="AF1678" s="84"/>
      <c r="AG1678" s="84"/>
      <c r="AH1678" s="84"/>
      <c r="AI1678" s="84"/>
      <c r="AL1678" s="84"/>
      <c r="AM1678" s="84"/>
      <c r="AN1678" s="84"/>
      <c r="AO1678" s="84"/>
      <c r="AP1678" s="84"/>
      <c r="AQ1678" s="84"/>
      <c r="AR1678" s="84"/>
      <c r="AS1678" s="84"/>
      <c r="AT1678" s="84"/>
      <c r="AU1678" s="84"/>
      <c r="AV1678" s="84"/>
      <c r="AY1678" s="84"/>
      <c r="AZ1678" s="84"/>
      <c r="BA1678" s="84"/>
      <c r="BB1678" s="84"/>
      <c r="BC1678" s="84"/>
      <c r="BD1678" s="84"/>
      <c r="BE1678" s="84"/>
      <c r="BF1678" s="942"/>
      <c r="BG1678" s="942"/>
      <c r="BH1678" s="942"/>
      <c r="BI1678" s="84"/>
      <c r="BL1678" s="84"/>
      <c r="BM1678" s="84"/>
      <c r="BN1678" s="84"/>
      <c r="BO1678" s="84"/>
      <c r="BP1678" s="84"/>
      <c r="BQ1678" s="84"/>
      <c r="BR1678" s="84"/>
      <c r="BS1678" s="942"/>
      <c r="BT1678" s="942"/>
      <c r="BU1678" s="942"/>
      <c r="BV1678" s="84"/>
    </row>
    <row r="1679" spans="14:74" ht="14.25">
      <c r="N1679" s="84"/>
      <c r="O1679" s="84"/>
      <c r="P1679" s="84"/>
      <c r="Q1679" s="84"/>
      <c r="R1679" s="84"/>
      <c r="S1679" s="84"/>
      <c r="T1679" s="84"/>
      <c r="U1679" s="84"/>
      <c r="V1679" s="84"/>
      <c r="W1679" s="84"/>
      <c r="Y1679" s="84"/>
      <c r="Z1679" s="84"/>
      <c r="AA1679" s="84"/>
      <c r="AB1679" s="84"/>
      <c r="AC1679" s="84"/>
      <c r="AD1679" s="84"/>
      <c r="AE1679" s="84"/>
      <c r="AF1679" s="84"/>
      <c r="AG1679" s="84"/>
      <c r="AH1679" s="84"/>
      <c r="AI1679" s="84"/>
      <c r="AL1679" s="84"/>
      <c r="AM1679" s="84"/>
      <c r="AN1679" s="84"/>
      <c r="AO1679" s="84"/>
      <c r="AP1679" s="84"/>
      <c r="AQ1679" s="84"/>
      <c r="AR1679" s="84"/>
      <c r="AS1679" s="84"/>
      <c r="AT1679" s="84"/>
      <c r="AU1679" s="84"/>
      <c r="AV1679" s="84"/>
      <c r="AY1679" s="84"/>
      <c r="AZ1679" s="84"/>
      <c r="BA1679" s="84"/>
      <c r="BB1679" s="84"/>
      <c r="BC1679" s="84"/>
      <c r="BD1679" s="84"/>
      <c r="BE1679" s="84"/>
      <c r="BF1679" s="942"/>
      <c r="BG1679" s="942"/>
      <c r="BH1679" s="942"/>
      <c r="BI1679" s="84"/>
      <c r="BL1679" s="84"/>
      <c r="BM1679" s="84"/>
      <c r="BN1679" s="84"/>
      <c r="BO1679" s="84"/>
      <c r="BP1679" s="84"/>
      <c r="BQ1679" s="84"/>
      <c r="BR1679" s="84"/>
      <c r="BS1679" s="942"/>
      <c r="BT1679" s="942"/>
      <c r="BU1679" s="942"/>
      <c r="BV1679" s="84"/>
    </row>
    <row r="1680" spans="14:74" ht="14.25">
      <c r="N1680" s="84"/>
      <c r="O1680" s="84"/>
      <c r="P1680" s="84"/>
      <c r="Q1680" s="84"/>
      <c r="R1680" s="84"/>
      <c r="S1680" s="84"/>
      <c r="T1680" s="84"/>
      <c r="U1680" s="84"/>
      <c r="V1680" s="84"/>
      <c r="W1680" s="84"/>
      <c r="Y1680" s="84"/>
      <c r="Z1680" s="84"/>
      <c r="AA1680" s="84"/>
      <c r="AB1680" s="84"/>
      <c r="AC1680" s="84"/>
      <c r="AD1680" s="84"/>
      <c r="AE1680" s="84"/>
      <c r="AF1680" s="84"/>
      <c r="AG1680" s="84"/>
      <c r="AH1680" s="84"/>
      <c r="AI1680" s="84"/>
      <c r="AL1680" s="84"/>
      <c r="AM1680" s="84"/>
      <c r="AN1680" s="84"/>
      <c r="AO1680" s="84"/>
      <c r="AP1680" s="84"/>
      <c r="AQ1680" s="84"/>
      <c r="AR1680" s="84"/>
      <c r="AS1680" s="84"/>
      <c r="AT1680" s="84"/>
      <c r="AU1680" s="84"/>
      <c r="AV1680" s="84"/>
      <c r="AY1680" s="84"/>
      <c r="AZ1680" s="84"/>
      <c r="BA1680" s="84"/>
      <c r="BB1680" s="84"/>
      <c r="BC1680" s="84"/>
      <c r="BD1680" s="84"/>
      <c r="BE1680" s="84"/>
      <c r="BF1680" s="942"/>
      <c r="BG1680" s="942"/>
      <c r="BH1680" s="942"/>
      <c r="BI1680" s="84"/>
      <c r="BL1680" s="84"/>
      <c r="BM1680" s="84"/>
      <c r="BN1680" s="84"/>
      <c r="BO1680" s="84"/>
      <c r="BP1680" s="84"/>
      <c r="BQ1680" s="84"/>
      <c r="BR1680" s="84"/>
      <c r="BS1680" s="942"/>
      <c r="BT1680" s="942"/>
      <c r="BU1680" s="942"/>
      <c r="BV1680" s="84"/>
    </row>
    <row r="1681" spans="14:74" ht="14.25">
      <c r="N1681" s="84"/>
      <c r="O1681" s="84"/>
      <c r="P1681" s="84"/>
      <c r="Q1681" s="84"/>
      <c r="R1681" s="84"/>
      <c r="S1681" s="84"/>
      <c r="T1681" s="84"/>
      <c r="U1681" s="84"/>
      <c r="V1681" s="84"/>
      <c r="W1681" s="84"/>
      <c r="Y1681" s="84"/>
      <c r="Z1681" s="84"/>
      <c r="AA1681" s="84"/>
      <c r="AB1681" s="84"/>
      <c r="AC1681" s="84"/>
      <c r="AD1681" s="84"/>
      <c r="AE1681" s="84"/>
      <c r="AF1681" s="84"/>
      <c r="AG1681" s="84"/>
      <c r="AH1681" s="84"/>
      <c r="AI1681" s="84"/>
      <c r="AL1681" s="84"/>
      <c r="AM1681" s="84"/>
      <c r="AN1681" s="84"/>
      <c r="AO1681" s="84"/>
      <c r="AP1681" s="84"/>
      <c r="AQ1681" s="84"/>
      <c r="AR1681" s="84"/>
      <c r="AS1681" s="84"/>
      <c r="AT1681" s="84"/>
      <c r="AU1681" s="84"/>
      <c r="AV1681" s="84"/>
      <c r="AY1681" s="84"/>
      <c r="AZ1681" s="84"/>
      <c r="BA1681" s="84"/>
      <c r="BB1681" s="84"/>
      <c r="BC1681" s="84"/>
      <c r="BD1681" s="84"/>
      <c r="BE1681" s="84"/>
      <c r="BF1681" s="942"/>
      <c r="BG1681" s="942"/>
      <c r="BH1681" s="942"/>
      <c r="BI1681" s="84"/>
      <c r="BL1681" s="84"/>
      <c r="BM1681" s="84"/>
      <c r="BN1681" s="84"/>
      <c r="BO1681" s="84"/>
      <c r="BP1681" s="84"/>
      <c r="BQ1681" s="84"/>
      <c r="BR1681" s="84"/>
      <c r="BS1681" s="942"/>
      <c r="BT1681" s="942"/>
      <c r="BU1681" s="942"/>
      <c r="BV1681" s="84"/>
    </row>
    <row r="1682" spans="14:74" ht="14.25">
      <c r="N1682" s="84"/>
      <c r="O1682" s="84"/>
      <c r="P1682" s="84"/>
      <c r="Q1682" s="84"/>
      <c r="R1682" s="84"/>
      <c r="S1682" s="84"/>
      <c r="T1682" s="84"/>
      <c r="U1682" s="84"/>
      <c r="V1682" s="84"/>
      <c r="W1682" s="84"/>
      <c r="Y1682" s="84"/>
      <c r="Z1682" s="84"/>
      <c r="AA1682" s="84"/>
      <c r="AB1682" s="84"/>
      <c r="AC1682" s="84"/>
      <c r="AD1682" s="84"/>
      <c r="AE1682" s="84"/>
      <c r="AF1682" s="84"/>
      <c r="AG1682" s="84"/>
      <c r="AH1682" s="84"/>
      <c r="AI1682" s="84"/>
      <c r="AL1682" s="84"/>
      <c r="AM1682" s="84"/>
      <c r="AN1682" s="84"/>
      <c r="AO1682" s="84"/>
      <c r="AP1682" s="84"/>
      <c r="AQ1682" s="84"/>
      <c r="AR1682" s="84"/>
      <c r="AS1682" s="84"/>
      <c r="AT1682" s="84"/>
      <c r="AU1682" s="84"/>
      <c r="AV1682" s="84"/>
      <c r="AY1682" s="84"/>
      <c r="AZ1682" s="84"/>
      <c r="BA1682" s="84"/>
      <c r="BB1682" s="84"/>
      <c r="BC1682" s="84"/>
      <c r="BD1682" s="84"/>
      <c r="BE1682" s="84"/>
      <c r="BF1682" s="942"/>
      <c r="BG1682" s="942"/>
      <c r="BH1682" s="942"/>
      <c r="BI1682" s="84"/>
      <c r="BL1682" s="84"/>
      <c r="BM1682" s="84"/>
      <c r="BN1682" s="84"/>
      <c r="BO1682" s="84"/>
      <c r="BP1682" s="84"/>
      <c r="BQ1682" s="84"/>
      <c r="BR1682" s="84"/>
      <c r="BS1682" s="942"/>
      <c r="BT1682" s="942"/>
      <c r="BU1682" s="942"/>
      <c r="BV1682" s="84"/>
    </row>
    <row r="1683" spans="14:74" ht="14.25">
      <c r="N1683" s="84"/>
      <c r="O1683" s="84"/>
      <c r="P1683" s="84"/>
      <c r="Q1683" s="84"/>
      <c r="R1683" s="84"/>
      <c r="S1683" s="84"/>
      <c r="T1683" s="84"/>
      <c r="U1683" s="84"/>
      <c r="V1683" s="84"/>
      <c r="W1683" s="84"/>
      <c r="Y1683" s="84"/>
      <c r="Z1683" s="84"/>
      <c r="AA1683" s="84"/>
      <c r="AB1683" s="84"/>
      <c r="AC1683" s="84"/>
      <c r="AD1683" s="84"/>
      <c r="AE1683" s="84"/>
      <c r="AF1683" s="84"/>
      <c r="AG1683" s="84"/>
      <c r="AH1683" s="84"/>
      <c r="AI1683" s="84"/>
      <c r="AL1683" s="84"/>
      <c r="AM1683" s="84"/>
      <c r="AN1683" s="84"/>
      <c r="AO1683" s="84"/>
      <c r="AP1683" s="84"/>
      <c r="AQ1683" s="84"/>
      <c r="AR1683" s="84"/>
      <c r="AS1683" s="84"/>
      <c r="AT1683" s="84"/>
      <c r="AU1683" s="84"/>
      <c r="AV1683" s="84"/>
      <c r="AY1683" s="84"/>
      <c r="AZ1683" s="84"/>
      <c r="BA1683" s="84"/>
      <c r="BB1683" s="84"/>
      <c r="BC1683" s="84"/>
      <c r="BD1683" s="84"/>
      <c r="BE1683" s="84"/>
      <c r="BF1683" s="942"/>
      <c r="BG1683" s="942"/>
      <c r="BH1683" s="942"/>
      <c r="BI1683" s="84"/>
      <c r="BL1683" s="84"/>
      <c r="BM1683" s="84"/>
      <c r="BN1683" s="84"/>
      <c r="BO1683" s="84"/>
      <c r="BP1683" s="84"/>
      <c r="BQ1683" s="84"/>
      <c r="BR1683" s="84"/>
      <c r="BS1683" s="942"/>
      <c r="BT1683" s="942"/>
      <c r="BU1683" s="942"/>
      <c r="BV1683" s="84"/>
    </row>
    <row r="1684" spans="14:74" ht="14.25">
      <c r="N1684" s="84"/>
      <c r="O1684" s="84"/>
      <c r="P1684" s="84"/>
      <c r="Q1684" s="84"/>
      <c r="R1684" s="84"/>
      <c r="S1684" s="84"/>
      <c r="T1684" s="84"/>
      <c r="U1684" s="84"/>
      <c r="V1684" s="84"/>
      <c r="W1684" s="84"/>
      <c r="Y1684" s="84"/>
      <c r="Z1684" s="84"/>
      <c r="AA1684" s="84"/>
      <c r="AB1684" s="84"/>
      <c r="AC1684" s="84"/>
      <c r="AD1684" s="84"/>
      <c r="AE1684" s="84"/>
      <c r="AF1684" s="84"/>
      <c r="AG1684" s="84"/>
      <c r="AH1684" s="84"/>
      <c r="AI1684" s="84"/>
      <c r="AL1684" s="84"/>
      <c r="AM1684" s="84"/>
      <c r="AN1684" s="84"/>
      <c r="AO1684" s="84"/>
      <c r="AP1684" s="84"/>
      <c r="AQ1684" s="84"/>
      <c r="AR1684" s="84"/>
      <c r="AS1684" s="84"/>
      <c r="AT1684" s="84"/>
      <c r="AU1684" s="84"/>
      <c r="AV1684" s="84"/>
      <c r="AY1684" s="84"/>
      <c r="AZ1684" s="84"/>
      <c r="BA1684" s="84"/>
      <c r="BB1684" s="84"/>
      <c r="BC1684" s="84"/>
      <c r="BD1684" s="84"/>
      <c r="BE1684" s="84"/>
      <c r="BF1684" s="942"/>
      <c r="BG1684" s="942"/>
      <c r="BH1684" s="942"/>
      <c r="BI1684" s="84"/>
      <c r="BL1684" s="84"/>
      <c r="BM1684" s="84"/>
      <c r="BN1684" s="84"/>
      <c r="BO1684" s="84"/>
      <c r="BP1684" s="84"/>
      <c r="BQ1684" s="84"/>
      <c r="BR1684" s="84"/>
      <c r="BS1684" s="942"/>
      <c r="BT1684" s="942"/>
      <c r="BU1684" s="942"/>
      <c r="BV1684" s="84"/>
    </row>
    <row r="1685" spans="14:74" ht="14.25">
      <c r="N1685" s="84"/>
      <c r="O1685" s="84"/>
      <c r="P1685" s="84"/>
      <c r="Q1685" s="84"/>
      <c r="R1685" s="84"/>
      <c r="S1685" s="84"/>
      <c r="T1685" s="84"/>
      <c r="U1685" s="84"/>
      <c r="V1685" s="84"/>
      <c r="W1685" s="84"/>
      <c r="Y1685" s="84"/>
      <c r="Z1685" s="84"/>
      <c r="AA1685" s="84"/>
      <c r="AB1685" s="84"/>
      <c r="AC1685" s="84"/>
      <c r="AD1685" s="84"/>
      <c r="AE1685" s="84"/>
      <c r="AF1685" s="84"/>
      <c r="AG1685" s="84"/>
      <c r="AH1685" s="84"/>
      <c r="AI1685" s="84"/>
      <c r="AL1685" s="84"/>
      <c r="AM1685" s="84"/>
      <c r="AN1685" s="84"/>
      <c r="AO1685" s="84"/>
      <c r="AP1685" s="84"/>
      <c r="AQ1685" s="84"/>
      <c r="AR1685" s="84"/>
      <c r="AS1685" s="84"/>
      <c r="AT1685" s="84"/>
      <c r="AU1685" s="84"/>
      <c r="AV1685" s="84"/>
      <c r="AY1685" s="84"/>
      <c r="AZ1685" s="84"/>
      <c r="BA1685" s="84"/>
      <c r="BB1685" s="84"/>
      <c r="BC1685" s="84"/>
      <c r="BD1685" s="84"/>
      <c r="BE1685" s="84"/>
      <c r="BF1685" s="942"/>
      <c r="BG1685" s="942"/>
      <c r="BH1685" s="942"/>
      <c r="BI1685" s="84"/>
      <c r="BL1685" s="84"/>
      <c r="BM1685" s="84"/>
      <c r="BN1685" s="84"/>
      <c r="BO1685" s="84"/>
      <c r="BP1685" s="84"/>
      <c r="BQ1685" s="84"/>
      <c r="BR1685" s="84"/>
      <c r="BS1685" s="942"/>
      <c r="BT1685" s="942"/>
      <c r="BU1685" s="942"/>
      <c r="BV1685" s="84"/>
    </row>
    <row r="1686" spans="14:74" ht="14.25">
      <c r="N1686" s="84"/>
      <c r="O1686" s="84"/>
      <c r="P1686" s="84"/>
      <c r="Q1686" s="84"/>
      <c r="R1686" s="84"/>
      <c r="S1686" s="84"/>
      <c r="T1686" s="84"/>
      <c r="U1686" s="84"/>
      <c r="V1686" s="84"/>
      <c r="W1686" s="84"/>
      <c r="Y1686" s="84"/>
      <c r="Z1686" s="84"/>
      <c r="AA1686" s="84"/>
      <c r="AB1686" s="84"/>
      <c r="AC1686" s="84"/>
      <c r="AD1686" s="84"/>
      <c r="AE1686" s="84"/>
      <c r="AF1686" s="84"/>
      <c r="AG1686" s="84"/>
      <c r="AH1686" s="84"/>
      <c r="AI1686" s="84"/>
      <c r="AL1686" s="84"/>
      <c r="AM1686" s="84"/>
      <c r="AN1686" s="84"/>
      <c r="AO1686" s="84"/>
      <c r="AP1686" s="84"/>
      <c r="AQ1686" s="84"/>
      <c r="AR1686" s="84"/>
      <c r="AS1686" s="84"/>
      <c r="AT1686" s="84"/>
      <c r="AU1686" s="84"/>
      <c r="AV1686" s="84"/>
      <c r="AY1686" s="84"/>
      <c r="AZ1686" s="84"/>
      <c r="BA1686" s="84"/>
      <c r="BB1686" s="84"/>
      <c r="BC1686" s="84"/>
      <c r="BD1686" s="84"/>
      <c r="BE1686" s="84"/>
      <c r="BF1686" s="942"/>
      <c r="BG1686" s="942"/>
      <c r="BH1686" s="942"/>
      <c r="BI1686" s="84"/>
      <c r="BL1686" s="84"/>
      <c r="BM1686" s="84"/>
      <c r="BN1686" s="84"/>
      <c r="BO1686" s="84"/>
      <c r="BP1686" s="84"/>
      <c r="BQ1686" s="84"/>
      <c r="BR1686" s="84"/>
      <c r="BS1686" s="942"/>
      <c r="BT1686" s="942"/>
      <c r="BU1686" s="942"/>
      <c r="BV1686" s="84"/>
    </row>
    <row r="1687" spans="14:74" ht="14.25">
      <c r="N1687" s="84"/>
      <c r="O1687" s="84"/>
      <c r="P1687" s="84"/>
      <c r="Q1687" s="84"/>
      <c r="R1687" s="84"/>
      <c r="S1687" s="84"/>
      <c r="T1687" s="84"/>
      <c r="U1687" s="84"/>
      <c r="V1687" s="84"/>
      <c r="W1687" s="84"/>
      <c r="Y1687" s="84"/>
      <c r="Z1687" s="84"/>
      <c r="AA1687" s="84"/>
      <c r="AB1687" s="84"/>
      <c r="AC1687" s="84"/>
      <c r="AD1687" s="84"/>
      <c r="AE1687" s="84"/>
      <c r="AF1687" s="84"/>
      <c r="AG1687" s="84"/>
      <c r="AH1687" s="84"/>
      <c r="AI1687" s="84"/>
      <c r="AL1687" s="84"/>
      <c r="AM1687" s="84"/>
      <c r="AN1687" s="84"/>
      <c r="AO1687" s="84"/>
      <c r="AP1687" s="84"/>
      <c r="AQ1687" s="84"/>
      <c r="AR1687" s="84"/>
      <c r="AS1687" s="84"/>
      <c r="AT1687" s="84"/>
      <c r="AU1687" s="84"/>
      <c r="AV1687" s="84"/>
      <c r="AY1687" s="84"/>
      <c r="AZ1687" s="84"/>
      <c r="BA1687" s="84"/>
      <c r="BB1687" s="84"/>
      <c r="BC1687" s="84"/>
      <c r="BD1687" s="84"/>
      <c r="BE1687" s="84"/>
      <c r="BF1687" s="942"/>
      <c r="BG1687" s="942"/>
      <c r="BH1687" s="942"/>
      <c r="BI1687" s="84"/>
      <c r="BL1687" s="84"/>
      <c r="BM1687" s="84"/>
      <c r="BN1687" s="84"/>
      <c r="BO1687" s="84"/>
      <c r="BP1687" s="84"/>
      <c r="BQ1687" s="84"/>
      <c r="BR1687" s="84"/>
      <c r="BS1687" s="942"/>
      <c r="BT1687" s="942"/>
      <c r="BU1687" s="942"/>
      <c r="BV1687" s="84"/>
    </row>
    <row r="1688" spans="14:74" ht="14.25">
      <c r="N1688" s="84"/>
      <c r="O1688" s="84"/>
      <c r="P1688" s="84"/>
      <c r="Q1688" s="84"/>
      <c r="R1688" s="84"/>
      <c r="S1688" s="84"/>
      <c r="T1688" s="84"/>
      <c r="U1688" s="84"/>
      <c r="V1688" s="84"/>
      <c r="W1688" s="84"/>
      <c r="Y1688" s="84"/>
      <c r="Z1688" s="84"/>
      <c r="AA1688" s="84"/>
      <c r="AB1688" s="84"/>
      <c r="AC1688" s="84"/>
      <c r="AD1688" s="84"/>
      <c r="AE1688" s="84"/>
      <c r="AF1688" s="84"/>
      <c r="AG1688" s="84"/>
      <c r="AH1688" s="84"/>
      <c r="AI1688" s="84"/>
      <c r="AL1688" s="84"/>
      <c r="AM1688" s="84"/>
      <c r="AN1688" s="84"/>
      <c r="AO1688" s="84"/>
      <c r="AP1688" s="84"/>
      <c r="AQ1688" s="84"/>
      <c r="AR1688" s="84"/>
      <c r="AS1688" s="84"/>
      <c r="AT1688" s="84"/>
      <c r="AU1688" s="84"/>
      <c r="AV1688" s="84"/>
      <c r="AY1688" s="84"/>
      <c r="AZ1688" s="84"/>
      <c r="BA1688" s="84"/>
      <c r="BB1688" s="84"/>
      <c r="BC1688" s="84"/>
      <c r="BD1688" s="84"/>
      <c r="BE1688" s="84"/>
      <c r="BF1688" s="942"/>
      <c r="BG1688" s="942"/>
      <c r="BH1688" s="942"/>
      <c r="BI1688" s="84"/>
      <c r="BL1688" s="84"/>
      <c r="BM1688" s="84"/>
      <c r="BN1688" s="84"/>
      <c r="BO1688" s="84"/>
      <c r="BP1688" s="84"/>
      <c r="BQ1688" s="84"/>
      <c r="BR1688" s="84"/>
      <c r="BS1688" s="942"/>
      <c r="BT1688" s="942"/>
      <c r="BU1688" s="942"/>
      <c r="BV1688" s="84"/>
    </row>
    <row r="1689" spans="14:74" ht="14.25">
      <c r="N1689" s="84"/>
      <c r="O1689" s="84"/>
      <c r="P1689" s="84"/>
      <c r="Q1689" s="84"/>
      <c r="R1689" s="84"/>
      <c r="S1689" s="84"/>
      <c r="T1689" s="84"/>
      <c r="U1689" s="84"/>
      <c r="V1689" s="84"/>
      <c r="W1689" s="84"/>
      <c r="Y1689" s="84"/>
      <c r="Z1689" s="84"/>
      <c r="AA1689" s="84"/>
      <c r="AB1689" s="84"/>
      <c r="AC1689" s="84"/>
      <c r="AD1689" s="84"/>
      <c r="AE1689" s="84"/>
      <c r="AF1689" s="84"/>
      <c r="AG1689" s="84"/>
      <c r="AH1689" s="84"/>
      <c r="AI1689" s="84"/>
      <c r="AL1689" s="84"/>
      <c r="AM1689" s="84"/>
      <c r="AN1689" s="84"/>
      <c r="AO1689" s="84"/>
      <c r="AP1689" s="84"/>
      <c r="AQ1689" s="84"/>
      <c r="AR1689" s="84"/>
      <c r="AS1689" s="84"/>
      <c r="AT1689" s="84"/>
      <c r="AU1689" s="84"/>
      <c r="AV1689" s="84"/>
      <c r="AY1689" s="84"/>
      <c r="AZ1689" s="84"/>
      <c r="BA1689" s="84"/>
      <c r="BB1689" s="84"/>
      <c r="BC1689" s="84"/>
      <c r="BD1689" s="84"/>
      <c r="BE1689" s="84"/>
      <c r="BF1689" s="942"/>
      <c r="BG1689" s="942"/>
      <c r="BH1689" s="942"/>
      <c r="BI1689" s="84"/>
      <c r="BL1689" s="84"/>
      <c r="BM1689" s="84"/>
      <c r="BN1689" s="84"/>
      <c r="BO1689" s="84"/>
      <c r="BP1689" s="84"/>
      <c r="BQ1689" s="84"/>
      <c r="BR1689" s="84"/>
      <c r="BS1689" s="942"/>
      <c r="BT1689" s="942"/>
      <c r="BU1689" s="942"/>
      <c r="BV1689" s="84"/>
    </row>
    <row r="1690" spans="14:74" ht="14.25">
      <c r="N1690" s="84"/>
      <c r="O1690" s="84"/>
      <c r="P1690" s="84"/>
      <c r="Q1690" s="84"/>
      <c r="R1690" s="84"/>
      <c r="S1690" s="84"/>
      <c r="T1690" s="84"/>
      <c r="U1690" s="84"/>
      <c r="V1690" s="84"/>
      <c r="W1690" s="84"/>
      <c r="Y1690" s="84"/>
      <c r="Z1690" s="84"/>
      <c r="AA1690" s="84"/>
      <c r="AB1690" s="84"/>
      <c r="AC1690" s="84"/>
      <c r="AD1690" s="84"/>
      <c r="AE1690" s="84"/>
      <c r="AF1690" s="84"/>
      <c r="AG1690" s="84"/>
      <c r="AH1690" s="84"/>
      <c r="AI1690" s="84"/>
      <c r="AL1690" s="84"/>
      <c r="AM1690" s="84"/>
      <c r="AN1690" s="84"/>
      <c r="AO1690" s="84"/>
      <c r="AP1690" s="84"/>
      <c r="AQ1690" s="84"/>
      <c r="AR1690" s="84"/>
      <c r="AS1690" s="84"/>
      <c r="AT1690" s="84"/>
      <c r="AU1690" s="84"/>
      <c r="AV1690" s="84"/>
      <c r="AY1690" s="84"/>
      <c r="AZ1690" s="84"/>
      <c r="BA1690" s="84"/>
      <c r="BB1690" s="84"/>
      <c r="BC1690" s="84"/>
      <c r="BD1690" s="84"/>
      <c r="BE1690" s="84"/>
      <c r="BF1690" s="942"/>
      <c r="BG1690" s="942"/>
      <c r="BH1690" s="942"/>
      <c r="BI1690" s="84"/>
      <c r="BL1690" s="84"/>
      <c r="BM1690" s="84"/>
      <c r="BN1690" s="84"/>
      <c r="BO1690" s="84"/>
      <c r="BP1690" s="84"/>
      <c r="BQ1690" s="84"/>
      <c r="BR1690" s="84"/>
      <c r="BS1690" s="942"/>
      <c r="BT1690" s="942"/>
      <c r="BU1690" s="942"/>
      <c r="BV1690" s="84"/>
    </row>
    <row r="1691" spans="14:74" ht="14.25">
      <c r="N1691" s="84"/>
      <c r="O1691" s="84"/>
      <c r="P1691" s="84"/>
      <c r="Q1691" s="84"/>
      <c r="R1691" s="84"/>
      <c r="S1691" s="84"/>
      <c r="T1691" s="84"/>
      <c r="U1691" s="84"/>
      <c r="V1691" s="84"/>
      <c r="W1691" s="84"/>
      <c r="Y1691" s="84"/>
      <c r="Z1691" s="84"/>
      <c r="AA1691" s="84"/>
      <c r="AB1691" s="84"/>
      <c r="AC1691" s="84"/>
      <c r="AD1691" s="84"/>
      <c r="AE1691" s="84"/>
      <c r="AF1691" s="84"/>
      <c r="AG1691" s="84"/>
      <c r="AH1691" s="84"/>
      <c r="AI1691" s="84"/>
      <c r="AL1691" s="84"/>
      <c r="AM1691" s="84"/>
      <c r="AN1691" s="84"/>
      <c r="AO1691" s="84"/>
      <c r="AP1691" s="84"/>
      <c r="AQ1691" s="84"/>
      <c r="AR1691" s="84"/>
      <c r="AS1691" s="84"/>
      <c r="AT1691" s="84"/>
      <c r="AU1691" s="84"/>
      <c r="AV1691" s="84"/>
      <c r="AY1691" s="84"/>
      <c r="AZ1691" s="84"/>
      <c r="BA1691" s="84"/>
      <c r="BB1691" s="84"/>
      <c r="BC1691" s="84"/>
      <c r="BD1691" s="84"/>
      <c r="BE1691" s="84"/>
      <c r="BF1691" s="942"/>
      <c r="BG1691" s="942"/>
      <c r="BH1691" s="942"/>
      <c r="BI1691" s="84"/>
      <c r="BL1691" s="84"/>
      <c r="BM1691" s="84"/>
      <c r="BN1691" s="84"/>
      <c r="BO1691" s="84"/>
      <c r="BP1691" s="84"/>
      <c r="BQ1691" s="84"/>
      <c r="BR1691" s="84"/>
      <c r="BS1691" s="942"/>
      <c r="BT1691" s="942"/>
      <c r="BU1691" s="942"/>
      <c r="BV1691" s="84"/>
    </row>
    <row r="1692" spans="14:74" ht="14.25">
      <c r="N1692" s="84"/>
      <c r="O1692" s="84"/>
      <c r="P1692" s="84"/>
      <c r="Q1692" s="84"/>
      <c r="R1692" s="84"/>
      <c r="S1692" s="84"/>
      <c r="T1692" s="84"/>
      <c r="U1692" s="84"/>
      <c r="V1692" s="84"/>
      <c r="W1692" s="84"/>
      <c r="Y1692" s="84"/>
      <c r="Z1692" s="84"/>
      <c r="AA1692" s="84"/>
      <c r="AB1692" s="84"/>
      <c r="AC1692" s="84"/>
      <c r="AD1692" s="84"/>
      <c r="AE1692" s="84"/>
      <c r="AF1692" s="84"/>
      <c r="AG1692" s="84"/>
      <c r="AH1692" s="84"/>
      <c r="AI1692" s="84"/>
      <c r="AL1692" s="84"/>
      <c r="AM1692" s="84"/>
      <c r="AN1692" s="84"/>
      <c r="AO1692" s="84"/>
      <c r="AP1692" s="84"/>
      <c r="AQ1692" s="84"/>
      <c r="AR1692" s="84"/>
      <c r="AS1692" s="84"/>
      <c r="AT1692" s="84"/>
      <c r="AU1692" s="84"/>
      <c r="AV1692" s="84"/>
      <c r="AY1692" s="84"/>
      <c r="AZ1692" s="84"/>
      <c r="BA1692" s="84"/>
      <c r="BB1692" s="84"/>
      <c r="BC1692" s="84"/>
      <c r="BD1692" s="84"/>
      <c r="BE1692" s="84"/>
      <c r="BF1692" s="942"/>
      <c r="BG1692" s="942"/>
      <c r="BH1692" s="942"/>
      <c r="BI1692" s="84"/>
      <c r="BL1692" s="84"/>
      <c r="BM1692" s="84"/>
      <c r="BN1692" s="84"/>
      <c r="BO1692" s="84"/>
      <c r="BP1692" s="84"/>
      <c r="BQ1692" s="84"/>
      <c r="BR1692" s="84"/>
      <c r="BS1692" s="942"/>
      <c r="BT1692" s="942"/>
      <c r="BU1692" s="942"/>
      <c r="BV1692" s="84"/>
    </row>
    <row r="1693" spans="14:74" ht="14.25">
      <c r="N1693" s="84"/>
      <c r="O1693" s="84"/>
      <c r="P1693" s="84"/>
      <c r="Q1693" s="84"/>
      <c r="R1693" s="84"/>
      <c r="S1693" s="84"/>
      <c r="T1693" s="84"/>
      <c r="U1693" s="84"/>
      <c r="V1693" s="84"/>
      <c r="W1693" s="84"/>
      <c r="Y1693" s="84"/>
      <c r="Z1693" s="84"/>
      <c r="AA1693" s="84"/>
      <c r="AB1693" s="84"/>
      <c r="AC1693" s="84"/>
      <c r="AD1693" s="84"/>
      <c r="AE1693" s="84"/>
      <c r="AF1693" s="84"/>
      <c r="AG1693" s="84"/>
      <c r="AH1693" s="84"/>
      <c r="AI1693" s="84"/>
      <c r="AL1693" s="84"/>
      <c r="AM1693" s="84"/>
      <c r="AN1693" s="84"/>
      <c r="AO1693" s="84"/>
      <c r="AP1693" s="84"/>
      <c r="AQ1693" s="84"/>
      <c r="AR1693" s="84"/>
      <c r="AS1693" s="84"/>
      <c r="AT1693" s="84"/>
      <c r="AU1693" s="84"/>
      <c r="AV1693" s="84"/>
      <c r="AY1693" s="84"/>
      <c r="AZ1693" s="84"/>
      <c r="BA1693" s="84"/>
      <c r="BB1693" s="84"/>
      <c r="BC1693" s="84"/>
      <c r="BD1693" s="84"/>
      <c r="BE1693" s="84"/>
      <c r="BF1693" s="942"/>
      <c r="BG1693" s="942"/>
      <c r="BH1693" s="942"/>
      <c r="BI1693" s="84"/>
      <c r="BL1693" s="84"/>
      <c r="BM1693" s="84"/>
      <c r="BN1693" s="84"/>
      <c r="BO1693" s="84"/>
      <c r="BP1693" s="84"/>
      <c r="BQ1693" s="84"/>
      <c r="BR1693" s="84"/>
      <c r="BS1693" s="942"/>
      <c r="BT1693" s="942"/>
      <c r="BU1693" s="942"/>
      <c r="BV1693" s="84"/>
    </row>
    <row r="1694" spans="14:74" ht="14.25">
      <c r="N1694" s="84"/>
      <c r="O1694" s="84"/>
      <c r="P1694" s="84"/>
      <c r="Q1694" s="84"/>
      <c r="R1694" s="84"/>
      <c r="S1694" s="84"/>
      <c r="T1694" s="84"/>
      <c r="U1694" s="84"/>
      <c r="V1694" s="84"/>
      <c r="W1694" s="84"/>
      <c r="Y1694" s="84"/>
      <c r="Z1694" s="84"/>
      <c r="AA1694" s="84"/>
      <c r="AB1694" s="84"/>
      <c r="AC1694" s="84"/>
      <c r="AD1694" s="84"/>
      <c r="AE1694" s="84"/>
      <c r="AF1694" s="84"/>
      <c r="AG1694" s="84"/>
      <c r="AH1694" s="84"/>
      <c r="AI1694" s="84"/>
      <c r="AL1694" s="84"/>
      <c r="AM1694" s="84"/>
      <c r="AN1694" s="84"/>
      <c r="AO1694" s="84"/>
      <c r="AP1694" s="84"/>
      <c r="AQ1694" s="84"/>
      <c r="AR1694" s="84"/>
      <c r="AS1694" s="84"/>
      <c r="AT1694" s="84"/>
      <c r="AU1694" s="84"/>
      <c r="AV1694" s="84"/>
      <c r="AY1694" s="84"/>
      <c r="AZ1694" s="84"/>
      <c r="BA1694" s="84"/>
      <c r="BB1694" s="84"/>
      <c r="BC1694" s="84"/>
      <c r="BD1694" s="84"/>
      <c r="BE1694" s="84"/>
      <c r="BF1694" s="942"/>
      <c r="BG1694" s="942"/>
      <c r="BH1694" s="942"/>
      <c r="BI1694" s="84"/>
      <c r="BL1694" s="84"/>
      <c r="BM1694" s="84"/>
      <c r="BN1694" s="84"/>
      <c r="BO1694" s="84"/>
      <c r="BP1694" s="84"/>
      <c r="BQ1694" s="84"/>
      <c r="BR1694" s="84"/>
      <c r="BS1694" s="942"/>
      <c r="BT1694" s="942"/>
      <c r="BU1694" s="942"/>
      <c r="BV1694" s="84"/>
    </row>
    <row r="1695" spans="14:74" ht="14.25">
      <c r="N1695" s="84"/>
      <c r="O1695" s="84"/>
      <c r="P1695" s="84"/>
      <c r="Q1695" s="84"/>
      <c r="R1695" s="84"/>
      <c r="S1695" s="84"/>
      <c r="T1695" s="84"/>
      <c r="U1695" s="84"/>
      <c r="V1695" s="84"/>
      <c r="W1695" s="84"/>
      <c r="Y1695" s="84"/>
      <c r="Z1695" s="84"/>
      <c r="AA1695" s="84"/>
      <c r="AB1695" s="84"/>
      <c r="AC1695" s="84"/>
      <c r="AD1695" s="84"/>
      <c r="AE1695" s="84"/>
      <c r="AF1695" s="84"/>
      <c r="AG1695" s="84"/>
      <c r="AH1695" s="84"/>
      <c r="AI1695" s="84"/>
      <c r="AL1695" s="84"/>
      <c r="AM1695" s="84"/>
      <c r="AN1695" s="84"/>
      <c r="AO1695" s="84"/>
      <c r="AP1695" s="84"/>
      <c r="AQ1695" s="84"/>
      <c r="AR1695" s="84"/>
      <c r="AS1695" s="84"/>
      <c r="AT1695" s="84"/>
      <c r="AU1695" s="84"/>
      <c r="AV1695" s="84"/>
      <c r="AY1695" s="84"/>
      <c r="AZ1695" s="84"/>
      <c r="BA1695" s="84"/>
      <c r="BB1695" s="84"/>
      <c r="BC1695" s="84"/>
      <c r="BD1695" s="84"/>
      <c r="BE1695" s="84"/>
      <c r="BF1695" s="942"/>
      <c r="BG1695" s="942"/>
      <c r="BH1695" s="942"/>
      <c r="BI1695" s="84"/>
      <c r="BL1695" s="84"/>
      <c r="BM1695" s="84"/>
      <c r="BN1695" s="84"/>
      <c r="BO1695" s="84"/>
      <c r="BP1695" s="84"/>
      <c r="BQ1695" s="84"/>
      <c r="BR1695" s="84"/>
      <c r="BS1695" s="942"/>
      <c r="BT1695" s="942"/>
      <c r="BU1695" s="942"/>
      <c r="BV1695" s="84"/>
    </row>
    <row r="1696" spans="14:74" ht="14.25">
      <c r="N1696" s="84"/>
      <c r="O1696" s="84"/>
      <c r="P1696" s="84"/>
      <c r="Q1696" s="84"/>
      <c r="R1696" s="84"/>
      <c r="S1696" s="84"/>
      <c r="T1696" s="84"/>
      <c r="U1696" s="84"/>
      <c r="V1696" s="84"/>
      <c r="W1696" s="84"/>
      <c r="Y1696" s="84"/>
      <c r="Z1696" s="84"/>
      <c r="AA1696" s="84"/>
      <c r="AB1696" s="84"/>
      <c r="AC1696" s="84"/>
      <c r="AD1696" s="84"/>
      <c r="AE1696" s="84"/>
      <c r="AF1696" s="84"/>
      <c r="AG1696" s="84"/>
      <c r="AH1696" s="84"/>
      <c r="AI1696" s="84"/>
      <c r="AL1696" s="84"/>
      <c r="AM1696" s="84"/>
      <c r="AN1696" s="84"/>
      <c r="AO1696" s="84"/>
      <c r="AP1696" s="84"/>
      <c r="AQ1696" s="84"/>
      <c r="AR1696" s="84"/>
      <c r="AS1696" s="84"/>
      <c r="AT1696" s="84"/>
      <c r="AU1696" s="84"/>
      <c r="AV1696" s="84"/>
      <c r="AY1696" s="84"/>
      <c r="AZ1696" s="84"/>
      <c r="BA1696" s="84"/>
      <c r="BB1696" s="84"/>
      <c r="BC1696" s="84"/>
      <c r="BD1696" s="84"/>
      <c r="BE1696" s="84"/>
      <c r="BF1696" s="942"/>
      <c r="BG1696" s="942"/>
      <c r="BH1696" s="942"/>
      <c r="BI1696" s="84"/>
      <c r="BL1696" s="84"/>
      <c r="BM1696" s="84"/>
      <c r="BN1696" s="84"/>
      <c r="BO1696" s="84"/>
      <c r="BP1696" s="84"/>
      <c r="BQ1696" s="84"/>
      <c r="BR1696" s="84"/>
      <c r="BS1696" s="942"/>
      <c r="BT1696" s="942"/>
      <c r="BU1696" s="942"/>
      <c r="BV1696" s="84"/>
    </row>
    <row r="1697" spans="14:74" ht="14.25">
      <c r="N1697" s="84"/>
      <c r="O1697" s="84"/>
      <c r="P1697" s="84"/>
      <c r="Q1697" s="84"/>
      <c r="R1697" s="84"/>
      <c r="S1697" s="84"/>
      <c r="T1697" s="84"/>
      <c r="U1697" s="84"/>
      <c r="V1697" s="84"/>
      <c r="W1697" s="84"/>
      <c r="Y1697" s="84"/>
      <c r="Z1697" s="84"/>
      <c r="AA1697" s="84"/>
      <c r="AB1697" s="84"/>
      <c r="AC1697" s="84"/>
      <c r="AD1697" s="84"/>
      <c r="AE1697" s="84"/>
      <c r="AF1697" s="84"/>
      <c r="AG1697" s="84"/>
      <c r="AH1697" s="84"/>
      <c r="AI1697" s="84"/>
      <c r="AL1697" s="84"/>
      <c r="AM1697" s="84"/>
      <c r="AN1697" s="84"/>
      <c r="AO1697" s="84"/>
      <c r="AP1697" s="84"/>
      <c r="AQ1697" s="84"/>
      <c r="AR1697" s="84"/>
      <c r="AS1697" s="84"/>
      <c r="AT1697" s="84"/>
      <c r="AU1697" s="84"/>
      <c r="AV1697" s="84"/>
      <c r="AY1697" s="84"/>
      <c r="AZ1697" s="84"/>
      <c r="BA1697" s="84"/>
      <c r="BB1697" s="84"/>
      <c r="BC1697" s="84"/>
      <c r="BD1697" s="84"/>
      <c r="BE1697" s="84"/>
      <c r="BF1697" s="942"/>
      <c r="BG1697" s="942"/>
      <c r="BH1697" s="942"/>
      <c r="BI1697" s="84"/>
      <c r="BL1697" s="84"/>
      <c r="BM1697" s="84"/>
      <c r="BN1697" s="84"/>
      <c r="BO1697" s="84"/>
      <c r="BP1697" s="84"/>
      <c r="BQ1697" s="84"/>
      <c r="BR1697" s="84"/>
      <c r="BS1697" s="942"/>
      <c r="BT1697" s="942"/>
      <c r="BU1697" s="942"/>
      <c r="BV1697" s="84"/>
    </row>
  </sheetData>
  <mergeCells count="102">
    <mergeCell ref="H168:J168"/>
    <mergeCell ref="H151:J151"/>
    <mergeCell ref="H152:J152"/>
    <mergeCell ref="H153:J153"/>
    <mergeCell ref="H154:J154"/>
    <mergeCell ref="B211:D212"/>
    <mergeCell ref="C228:K235"/>
    <mergeCell ref="H169:J169"/>
    <mergeCell ref="H157:J157"/>
    <mergeCell ref="H158:J158"/>
    <mergeCell ref="H159:J159"/>
    <mergeCell ref="H160:J160"/>
    <mergeCell ref="H149:J149"/>
    <mergeCell ref="H150:J150"/>
    <mergeCell ref="H143:J143"/>
    <mergeCell ref="H144:J144"/>
    <mergeCell ref="H145:J145"/>
    <mergeCell ref="H146:J146"/>
    <mergeCell ref="H155:J155"/>
    <mergeCell ref="H156:J156"/>
    <mergeCell ref="H167:J167"/>
    <mergeCell ref="H140:J140"/>
    <mergeCell ref="H141:J141"/>
    <mergeCell ref="H142:J142"/>
    <mergeCell ref="H131:J131"/>
    <mergeCell ref="H136:J136"/>
    <mergeCell ref="H137:J137"/>
    <mergeCell ref="H138:J138"/>
    <mergeCell ref="H147:J147"/>
    <mergeCell ref="H148:J148"/>
    <mergeCell ref="G116:J116"/>
    <mergeCell ref="G117:J117"/>
    <mergeCell ref="H127:J127"/>
    <mergeCell ref="H128:J128"/>
    <mergeCell ref="G109:J109"/>
    <mergeCell ref="G110:J110"/>
    <mergeCell ref="G111:J111"/>
    <mergeCell ref="G114:J114"/>
    <mergeCell ref="H139:J139"/>
    <mergeCell ref="G99:J99"/>
    <mergeCell ref="G92:J92"/>
    <mergeCell ref="G93:J93"/>
    <mergeCell ref="G94:J94"/>
    <mergeCell ref="G95:J95"/>
    <mergeCell ref="G105:J105"/>
    <mergeCell ref="G106:J106"/>
    <mergeCell ref="G107:J107"/>
    <mergeCell ref="G108:J108"/>
    <mergeCell ref="G100:J100"/>
    <mergeCell ref="G101:J101"/>
    <mergeCell ref="G103:J103"/>
    <mergeCell ref="G104:J104"/>
    <mergeCell ref="G90:J90"/>
    <mergeCell ref="G91:J91"/>
    <mergeCell ref="G84:J84"/>
    <mergeCell ref="G85:J85"/>
    <mergeCell ref="G86:J86"/>
    <mergeCell ref="G87:J87"/>
    <mergeCell ref="G96:J96"/>
    <mergeCell ref="G97:J97"/>
    <mergeCell ref="G98:J98"/>
    <mergeCell ref="G81:J81"/>
    <mergeCell ref="G82:J82"/>
    <mergeCell ref="G83:J83"/>
    <mergeCell ref="G76:J76"/>
    <mergeCell ref="G77:J77"/>
    <mergeCell ref="G78:J78"/>
    <mergeCell ref="G79:J79"/>
    <mergeCell ref="G88:J88"/>
    <mergeCell ref="G89:J89"/>
    <mergeCell ref="G72:J72"/>
    <mergeCell ref="G73:J73"/>
    <mergeCell ref="G74:J74"/>
    <mergeCell ref="G75:J75"/>
    <mergeCell ref="G68:J68"/>
    <mergeCell ref="G69:J69"/>
    <mergeCell ref="G70:J70"/>
    <mergeCell ref="G71:J71"/>
    <mergeCell ref="G80:J80"/>
    <mergeCell ref="G61:J61"/>
    <mergeCell ref="D34:E34"/>
    <mergeCell ref="D39:E39"/>
    <mergeCell ref="D47:E47"/>
    <mergeCell ref="D48:E48"/>
    <mergeCell ref="E63:J63"/>
    <mergeCell ref="G66:J66"/>
    <mergeCell ref="G67:J67"/>
    <mergeCell ref="D51:E51"/>
    <mergeCell ref="D53:E53"/>
    <mergeCell ref="D54:E54"/>
    <mergeCell ref="E61:F61"/>
    <mergeCell ref="D50:E50"/>
    <mergeCell ref="D11:F11"/>
    <mergeCell ref="D15:E15"/>
    <mergeCell ref="D16:E16"/>
    <mergeCell ref="D21:E21"/>
    <mergeCell ref="D37:E37"/>
    <mergeCell ref="D23:E23"/>
    <mergeCell ref="D25:E25"/>
    <mergeCell ref="D27:E27"/>
    <mergeCell ref="D29:E29"/>
    <mergeCell ref="D33:E33"/>
  </mergeCells>
  <phoneticPr fontId="140" type="noConversion"/>
  <conditionalFormatting sqref="A207:B207">
    <cfRule type="expression" dxfId="44" priority="1" stopIfTrue="1">
      <formula>$I$197:$I$198&lt;&gt;""</formula>
    </cfRule>
  </conditionalFormatting>
  <conditionalFormatting sqref="E207:F207">
    <cfRule type="expression" dxfId="43" priority="2" stopIfTrue="1">
      <formula>$I$194&lt;&gt;""</formula>
    </cfRule>
  </conditionalFormatting>
  <conditionalFormatting sqref="G207">
    <cfRule type="expression" dxfId="42" priority="3" stopIfTrue="1">
      <formula>$I$196&lt;&gt;""</formula>
    </cfRule>
  </conditionalFormatting>
  <conditionalFormatting sqref="H207">
    <cfRule type="expression" dxfId="41" priority="4" stopIfTrue="1">
      <formula>$I$197&lt;&gt;""</formula>
    </cfRule>
  </conditionalFormatting>
  <conditionalFormatting sqref="I207">
    <cfRule type="expression" dxfId="40" priority="5" stopIfTrue="1">
      <formula>$I$198&lt;&gt;""</formula>
    </cfRule>
  </conditionalFormatting>
  <conditionalFormatting sqref="J207:K207">
    <cfRule type="expression" dxfId="39" priority="6" stopIfTrue="1">
      <formula>$I$201&lt;&gt;""</formula>
    </cfRule>
  </conditionalFormatting>
  <conditionalFormatting sqref="K208:K212">
    <cfRule type="expression" dxfId="38" priority="7" stopIfTrue="1">
      <formula>$I$201&lt;&gt;""</formula>
    </cfRule>
  </conditionalFormatting>
  <conditionalFormatting sqref="G127:G128 G131:G132 G136:G161 G167:G169">
    <cfRule type="expression" dxfId="37" priority="8" stopIfTrue="1">
      <formula>commercial&gt;0</formula>
    </cfRule>
  </conditionalFormatting>
  <conditionalFormatting sqref="E208:E212">
    <cfRule type="expression" dxfId="36" priority="9" stopIfTrue="1">
      <formula>$I$194&lt;&gt;""</formula>
    </cfRule>
  </conditionalFormatting>
  <conditionalFormatting sqref="G208:G212">
    <cfRule type="expression" dxfId="35" priority="10" stopIfTrue="1">
      <formula>$I$196&lt;&gt;""</formula>
    </cfRule>
  </conditionalFormatting>
  <conditionalFormatting sqref="H208:H212">
    <cfRule type="expression" dxfId="34" priority="11" stopIfTrue="1">
      <formula>$I$197&lt;&gt;""</formula>
    </cfRule>
  </conditionalFormatting>
  <conditionalFormatting sqref="I208:I212">
    <cfRule type="expression" dxfId="33" priority="12" stopIfTrue="1">
      <formula>$I$198&lt;&gt;""</formula>
    </cfRule>
  </conditionalFormatting>
  <conditionalFormatting sqref="F208:F212">
    <cfRule type="expression" dxfId="32" priority="13" stopIfTrue="1">
      <formula>$I$195&lt;&gt;""</formula>
    </cfRule>
  </conditionalFormatting>
  <conditionalFormatting sqref="J208:J212">
    <cfRule type="expression" dxfId="31" priority="14" stopIfTrue="1">
      <formula>$I$201&lt;&gt;""</formula>
    </cfRule>
  </conditionalFormatting>
  <printOptions horizontalCentered="1" gridLinesSet="0"/>
  <pageMargins left="7.0000000000000007E-2" right="7.0000000000000007E-2" top="7.0000000000000007E-2" bottom="7.0000000000000007E-2" header="7.0000000000000007E-2" footer="7.0000000000000007E-2"/>
  <pageSetup scale="80" orientation="portrait" blackAndWhite="1" r:id="rId1"/>
  <headerFooter alignWithMargins="0"/>
  <rowBreaks count="3" manualBreakCount="3">
    <brk id="56" max="16383" man="1"/>
    <brk id="122" max="16383" man="1"/>
    <brk id="176" max="16383" man="1"/>
  </rowBreaks>
  <colBreaks count="1" manualBreakCount="1">
    <brk id="12" max="22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5">
    <pageSetUpPr autoPageBreaks="0"/>
  </sheetPr>
  <dimension ref="A1:DC289"/>
  <sheetViews>
    <sheetView showGridLines="0" zoomScaleNormal="100" workbookViewId="0"/>
  </sheetViews>
  <sheetFormatPr defaultColWidth="9.6640625" defaultRowHeight="12.75"/>
  <cols>
    <col min="1" max="1" width="5.33203125" style="101" customWidth="1"/>
    <col min="2" max="2" width="1.6640625" style="101" customWidth="1"/>
    <col min="3" max="3" width="16.83203125" style="103" customWidth="1"/>
    <col min="4" max="9" width="19.83203125" style="103" customWidth="1"/>
    <col min="10" max="10" width="2.6640625" style="103" customWidth="1"/>
    <col min="11" max="11" width="24.6640625" style="103" customWidth="1"/>
    <col min="12" max="12" width="23.5" style="103" customWidth="1"/>
    <col min="13" max="15" width="18.83203125" style="103" customWidth="1"/>
    <col min="16" max="16" width="10.5" style="103" customWidth="1"/>
    <col min="17" max="17" width="11.5" style="419" bestFit="1" customWidth="1"/>
    <col min="18" max="18" width="28.33203125" style="103" customWidth="1"/>
    <col min="19" max="19" width="31.1640625" style="103" customWidth="1"/>
    <col min="20" max="20" width="15.5" style="103" customWidth="1"/>
    <col min="21" max="22" width="13.1640625" style="103" customWidth="1"/>
    <col min="23" max="23" width="13.33203125" style="103" customWidth="1"/>
    <col min="24" max="28" width="12.1640625" style="103" customWidth="1"/>
    <col min="29" max="29" width="28.33203125" style="103" customWidth="1"/>
    <col min="30" max="30" width="30.1640625" style="103" bestFit="1" customWidth="1"/>
    <col min="31" max="31" width="15.5" style="103" customWidth="1"/>
    <col min="32" max="33" width="13.1640625" style="103" customWidth="1"/>
    <col min="34" max="34" width="13.33203125" style="103" customWidth="1"/>
    <col min="35" max="39" width="12.1640625" style="103" customWidth="1"/>
    <col min="40" max="43" width="10.6640625" style="103" customWidth="1"/>
    <col min="44" max="65" width="9.6640625" style="103"/>
    <col min="66" max="66" width="10.6640625" style="103" bestFit="1" customWidth="1"/>
    <col min="67" max="16384" width="9.6640625" style="103"/>
  </cols>
  <sheetData>
    <row r="1" spans="1:107" s="85" customFormat="1">
      <c r="A1" s="63" t="str">
        <f>'2. Dev. Team'!A1</f>
        <v>One Stop2000 Affordable Housing Finance Application [Version 1.21] ©</v>
      </c>
      <c r="B1" s="52"/>
      <c r="C1" s="80"/>
      <c r="D1" s="80"/>
      <c r="E1" s="80"/>
      <c r="F1" s="80"/>
      <c r="G1" s="80"/>
      <c r="H1" s="80"/>
      <c r="I1" s="119" t="s">
        <v>1355</v>
      </c>
      <c r="J1" s="80"/>
      <c r="Q1" s="416"/>
    </row>
    <row r="2" spans="1:107" ht="25.5">
      <c r="A2" s="243" t="s">
        <v>1356</v>
      </c>
      <c r="B2" s="244"/>
      <c r="C2" s="68"/>
      <c r="D2" s="417"/>
      <c r="E2" s="417"/>
      <c r="F2" s="418"/>
      <c r="G2" s="418"/>
      <c r="H2" s="417"/>
      <c r="I2" s="417"/>
      <c r="J2" s="417"/>
    </row>
    <row r="3" spans="1:107" ht="26.25">
      <c r="A3" s="245" t="s">
        <v>1357</v>
      </c>
      <c r="B3" s="244"/>
      <c r="C3" s="69"/>
      <c r="D3" s="417"/>
      <c r="E3" s="417"/>
      <c r="F3" s="417"/>
      <c r="G3" s="244"/>
      <c r="H3" s="417"/>
      <c r="I3" s="417"/>
      <c r="J3" s="417"/>
      <c r="AC3" s="420" t="s">
        <v>1358</v>
      </c>
    </row>
    <row r="4" spans="1:107" s="85" customFormat="1" ht="13.5" thickBot="1">
      <c r="A4" s="244"/>
      <c r="B4" s="244"/>
      <c r="C4" s="421"/>
      <c r="D4" s="421"/>
      <c r="E4" s="421"/>
      <c r="F4" s="421"/>
      <c r="G4" s="421"/>
      <c r="H4" s="421"/>
      <c r="I4" s="421"/>
      <c r="J4" s="421"/>
      <c r="Q4" s="416"/>
    </row>
    <row r="5" spans="1:107" ht="17.25" thickTop="1" thickBot="1">
      <c r="A5" s="422" t="s">
        <v>1359</v>
      </c>
      <c r="B5" s="423"/>
      <c r="C5" s="74"/>
      <c r="D5" s="74"/>
      <c r="E5" s="74"/>
      <c r="F5" s="74"/>
      <c r="G5" s="74"/>
      <c r="H5" s="74"/>
      <c r="I5" s="74"/>
      <c r="J5" s="77"/>
      <c r="AC5" s="424" t="s">
        <v>1360</v>
      </c>
      <c r="AD5" s="425"/>
      <c r="AE5" s="426"/>
      <c r="AF5" s="424" t="s">
        <v>1361</v>
      </c>
      <c r="AG5" s="425"/>
      <c r="AH5" s="425"/>
      <c r="AI5" s="424" t="s">
        <v>1362</v>
      </c>
      <c r="AJ5" s="425"/>
      <c r="AK5" s="425"/>
      <c r="AL5" s="424" t="s">
        <v>1363</v>
      </c>
      <c r="AM5" s="425"/>
      <c r="AN5" s="425"/>
      <c r="AO5" s="424" t="s">
        <v>1364</v>
      </c>
      <c r="AP5" s="425"/>
      <c r="AQ5" s="425"/>
      <c r="AR5" s="424" t="s">
        <v>1365</v>
      </c>
      <c r="AS5" s="425"/>
      <c r="AT5" s="425"/>
      <c r="AU5" s="424" t="s">
        <v>1366</v>
      </c>
      <c r="AV5" s="425"/>
      <c r="AW5" s="425"/>
      <c r="AX5" s="424" t="s">
        <v>1367</v>
      </c>
      <c r="AY5" s="425"/>
      <c r="AZ5" s="425"/>
      <c r="BA5" s="424" t="s">
        <v>1368</v>
      </c>
      <c r="BB5" s="425"/>
      <c r="BC5" s="426"/>
      <c r="BD5" s="424" t="s">
        <v>1369</v>
      </c>
      <c r="BE5" s="425"/>
      <c r="BF5" s="425"/>
      <c r="BG5" s="424" t="s">
        <v>1378</v>
      </c>
      <c r="BH5" s="425"/>
      <c r="BI5" s="425"/>
      <c r="BJ5" s="424" t="s">
        <v>1379</v>
      </c>
      <c r="BK5" s="425"/>
      <c r="BL5" s="425"/>
      <c r="BM5" s="424" t="s">
        <v>1380</v>
      </c>
      <c r="BN5" s="425"/>
      <c r="BO5" s="425"/>
      <c r="BP5" s="424" t="s">
        <v>1381</v>
      </c>
      <c r="BQ5" s="425"/>
      <c r="BR5" s="425"/>
      <c r="BS5" s="424" t="s">
        <v>1382</v>
      </c>
      <c r="BT5" s="425"/>
      <c r="BU5" s="425"/>
      <c r="BV5" s="424" t="s">
        <v>1383</v>
      </c>
      <c r="BW5" s="425"/>
      <c r="BX5" s="425"/>
      <c r="BY5" s="424" t="s">
        <v>1384</v>
      </c>
      <c r="BZ5" s="425"/>
      <c r="CA5" s="426"/>
      <c r="CB5" s="424" t="s">
        <v>1385</v>
      </c>
      <c r="CC5" s="425"/>
      <c r="CD5" s="425"/>
      <c r="CE5" s="424" t="s">
        <v>1386</v>
      </c>
      <c r="CF5" s="425"/>
      <c r="CG5" s="427"/>
      <c r="CI5" s="428"/>
      <c r="CJ5" s="428"/>
      <c r="CK5" s="428"/>
      <c r="CL5" s="428"/>
      <c r="CM5" s="428"/>
      <c r="CN5" s="428"/>
      <c r="CO5" s="428"/>
      <c r="CP5" s="429"/>
      <c r="CQ5" s="429"/>
      <c r="CR5" s="429"/>
      <c r="CS5" s="429"/>
      <c r="CT5" s="429"/>
      <c r="CU5" s="429"/>
      <c r="CV5" s="429"/>
      <c r="CW5" s="429"/>
      <c r="CX5" s="429"/>
      <c r="CY5" s="429"/>
      <c r="CZ5" s="429"/>
      <c r="DA5" s="429"/>
      <c r="DB5" s="429"/>
      <c r="DC5" s="429"/>
    </row>
    <row r="6" spans="1:107" ht="20.25" thickTop="1" thickBot="1">
      <c r="A6" s="161"/>
      <c r="B6" s="52"/>
      <c r="C6" s="430" t="s">
        <v>1387</v>
      </c>
      <c r="D6" s="138"/>
      <c r="E6" s="139"/>
      <c r="F6" s="176" t="s">
        <v>1388</v>
      </c>
      <c r="G6" s="176" t="s">
        <v>1389</v>
      </c>
      <c r="H6" s="176" t="s">
        <v>657</v>
      </c>
      <c r="I6" s="176" t="s">
        <v>1390</v>
      </c>
      <c r="J6" s="156"/>
      <c r="AC6" s="431">
        <v>0.5</v>
      </c>
      <c r="AD6" s="432">
        <v>0.6</v>
      </c>
      <c r="AE6" s="432">
        <v>0.8</v>
      </c>
      <c r="AF6" s="431">
        <v>0.5</v>
      </c>
      <c r="AG6" s="432">
        <v>0.6</v>
      </c>
      <c r="AH6" s="432">
        <v>0.8</v>
      </c>
      <c r="AI6" s="431">
        <v>0.5</v>
      </c>
      <c r="AJ6" s="432">
        <v>0.6</v>
      </c>
      <c r="AK6" s="432">
        <v>0.8</v>
      </c>
      <c r="AL6" s="431">
        <v>0.5</v>
      </c>
      <c r="AM6" s="432">
        <v>0.6</v>
      </c>
      <c r="AN6" s="432">
        <v>0.8</v>
      </c>
      <c r="AO6" s="431">
        <v>0.5</v>
      </c>
      <c r="AP6" s="432">
        <v>0.6</v>
      </c>
      <c r="AQ6" s="432">
        <v>0.8</v>
      </c>
      <c r="AR6" s="431">
        <v>0.5</v>
      </c>
      <c r="AS6" s="432">
        <v>0.6</v>
      </c>
      <c r="AT6" s="432">
        <v>0.8</v>
      </c>
      <c r="AU6" s="431">
        <v>0.5</v>
      </c>
      <c r="AV6" s="432">
        <v>0.6</v>
      </c>
      <c r="AW6" s="432">
        <v>0.8</v>
      </c>
      <c r="AX6" s="431">
        <v>0.5</v>
      </c>
      <c r="AY6" s="432">
        <v>0.6</v>
      </c>
      <c r="AZ6" s="432">
        <v>0.8</v>
      </c>
      <c r="BA6" s="431">
        <v>0.5</v>
      </c>
      <c r="BB6" s="432">
        <v>0.6</v>
      </c>
      <c r="BC6" s="432">
        <v>0.8</v>
      </c>
      <c r="BD6" s="431">
        <v>0.5</v>
      </c>
      <c r="BE6" s="432">
        <v>0.6</v>
      </c>
      <c r="BF6" s="432">
        <v>0.8</v>
      </c>
      <c r="BG6" s="431">
        <v>0.5</v>
      </c>
      <c r="BH6" s="432">
        <v>0.6</v>
      </c>
      <c r="BI6" s="432">
        <v>0.8</v>
      </c>
      <c r="BJ6" s="431">
        <v>0.5</v>
      </c>
      <c r="BK6" s="432">
        <v>0.6</v>
      </c>
      <c r="BL6" s="432">
        <v>0.8</v>
      </c>
      <c r="BM6" s="431">
        <v>0.5</v>
      </c>
      <c r="BN6" s="432">
        <v>0.6</v>
      </c>
      <c r="BO6" s="432">
        <v>0.8</v>
      </c>
      <c r="BP6" s="431">
        <v>0.5</v>
      </c>
      <c r="BQ6" s="432">
        <v>0.6</v>
      </c>
      <c r="BR6" s="432">
        <v>0.8</v>
      </c>
      <c r="BS6" s="431">
        <v>0.5</v>
      </c>
      <c r="BT6" s="432">
        <v>0.6</v>
      </c>
      <c r="BU6" s="432">
        <v>0.8</v>
      </c>
      <c r="BV6" s="431">
        <v>0.5</v>
      </c>
      <c r="BW6" s="432">
        <v>0.6</v>
      </c>
      <c r="BX6" s="432">
        <v>0.8</v>
      </c>
      <c r="BY6" s="431">
        <v>0.5</v>
      </c>
      <c r="BZ6" s="432">
        <v>0.6</v>
      </c>
      <c r="CA6" s="432">
        <v>0.8</v>
      </c>
      <c r="CB6" s="431">
        <v>0.5</v>
      </c>
      <c r="CC6" s="432">
        <v>0.6</v>
      </c>
      <c r="CD6" s="432">
        <v>0.8</v>
      </c>
      <c r="CE6" s="431">
        <v>0.5</v>
      </c>
      <c r="CF6" s="432">
        <v>0.6</v>
      </c>
      <c r="CG6" s="433">
        <v>0.8</v>
      </c>
    </row>
    <row r="7" spans="1:107" ht="16.5" thickTop="1">
      <c r="A7" s="161">
        <f>'3. Sources Uses'!A225+1</f>
        <v>222</v>
      </c>
      <c r="B7" s="52" t="s">
        <v>636</v>
      </c>
      <c r="C7" s="138" t="s">
        <v>1408</v>
      </c>
      <c r="D7" s="138"/>
      <c r="E7" s="138"/>
      <c r="F7" s="176" t="s">
        <v>1409</v>
      </c>
      <c r="G7" s="176" t="s">
        <v>1410</v>
      </c>
      <c r="H7" s="176" t="s">
        <v>529</v>
      </c>
      <c r="I7" s="176" t="s">
        <v>662</v>
      </c>
      <c r="J7" s="156"/>
      <c r="AC7" s="434">
        <v>416</v>
      </c>
      <c r="AD7" s="435">
        <v>499</v>
      </c>
      <c r="AE7" s="435">
        <f>AC7*1.6</f>
        <v>665.6</v>
      </c>
      <c r="AF7" s="434">
        <v>465</v>
      </c>
      <c r="AG7" s="435">
        <v>558</v>
      </c>
      <c r="AH7" s="435">
        <f>AF7*1.6</f>
        <v>744</v>
      </c>
      <c r="AI7" s="434">
        <v>418</v>
      </c>
      <c r="AJ7" s="435">
        <v>502</v>
      </c>
      <c r="AK7" s="435">
        <f>AI7*1.6</f>
        <v>668.80000000000007</v>
      </c>
      <c r="AL7" s="434">
        <v>373</v>
      </c>
      <c r="AM7" s="435">
        <v>448</v>
      </c>
      <c r="AN7" s="435">
        <f>AL7*1.6</f>
        <v>596.80000000000007</v>
      </c>
      <c r="AO7" s="434">
        <v>436</v>
      </c>
      <c r="AP7" s="435">
        <v>523</v>
      </c>
      <c r="AQ7" s="435">
        <f>AO7*1.6</f>
        <v>697.6</v>
      </c>
      <c r="AR7" s="434">
        <v>458</v>
      </c>
      <c r="AS7" s="435">
        <v>550</v>
      </c>
      <c r="AT7" s="435">
        <f>AR7*1.6</f>
        <v>732.80000000000007</v>
      </c>
      <c r="AU7" s="434">
        <v>348</v>
      </c>
      <c r="AV7" s="435">
        <v>418</v>
      </c>
      <c r="AW7" s="435">
        <f>AU7*1.6</f>
        <v>556.80000000000007</v>
      </c>
      <c r="AX7" s="434">
        <v>363</v>
      </c>
      <c r="AY7" s="435">
        <v>436</v>
      </c>
      <c r="AZ7" s="435">
        <f>AX7*1.6</f>
        <v>580.80000000000007</v>
      </c>
      <c r="BA7" s="434">
        <v>373</v>
      </c>
      <c r="BB7" s="435">
        <v>448</v>
      </c>
      <c r="BC7" s="435">
        <f>BA7*1.6</f>
        <v>596.80000000000007</v>
      </c>
      <c r="BD7" s="434">
        <v>351</v>
      </c>
      <c r="BE7" s="435">
        <v>421</v>
      </c>
      <c r="BF7" s="435">
        <f>BD7*1.6</f>
        <v>561.6</v>
      </c>
      <c r="BG7" s="434">
        <v>396</v>
      </c>
      <c r="BH7" s="435">
        <v>475</v>
      </c>
      <c r="BI7" s="435">
        <f>BG7*1.6</f>
        <v>633.6</v>
      </c>
      <c r="BJ7" s="434">
        <v>410</v>
      </c>
      <c r="BK7" s="435">
        <v>492</v>
      </c>
      <c r="BL7" s="435">
        <f>BJ7*1.6</f>
        <v>656</v>
      </c>
      <c r="BM7" s="434">
        <v>348</v>
      </c>
      <c r="BN7" s="435">
        <v>418</v>
      </c>
      <c r="BO7" s="435">
        <f>BM7*1.6</f>
        <v>556.80000000000007</v>
      </c>
      <c r="BP7" s="434">
        <v>401</v>
      </c>
      <c r="BQ7" s="435">
        <v>481</v>
      </c>
      <c r="BR7" s="435">
        <f>BP7*1.6</f>
        <v>641.6</v>
      </c>
      <c r="BS7" s="434">
        <v>348</v>
      </c>
      <c r="BT7" s="435">
        <v>418</v>
      </c>
      <c r="BU7" s="435">
        <f>BS7*1.6</f>
        <v>556.80000000000007</v>
      </c>
      <c r="BV7" s="434">
        <v>383</v>
      </c>
      <c r="BW7" s="435">
        <v>460</v>
      </c>
      <c r="BX7" s="435">
        <f>BV7*1.6</f>
        <v>612.80000000000007</v>
      </c>
      <c r="BY7" s="434">
        <v>382</v>
      </c>
      <c r="BZ7" s="435">
        <v>459</v>
      </c>
      <c r="CA7" s="435">
        <f>BY7*1.6</f>
        <v>611.20000000000005</v>
      </c>
      <c r="CB7" s="434">
        <v>637</v>
      </c>
      <c r="CC7" s="435">
        <v>765</v>
      </c>
      <c r="CD7" s="435">
        <f>CB7*1.6</f>
        <v>1019.2</v>
      </c>
      <c r="CE7" s="434">
        <v>348</v>
      </c>
      <c r="CF7" s="435">
        <v>418</v>
      </c>
      <c r="CG7" s="436">
        <f>CE7*1.6</f>
        <v>556.80000000000007</v>
      </c>
    </row>
    <row r="8" spans="1:107" s="84" customFormat="1" ht="15">
      <c r="A8" s="161"/>
      <c r="B8" s="52"/>
      <c r="C8" s="437" t="str">
        <f>bedroom_type1</f>
        <v>SRO</v>
      </c>
      <c r="D8" s="437"/>
      <c r="E8" s="438"/>
      <c r="F8" s="768"/>
      <c r="G8" s="768"/>
      <c r="H8" s="769">
        <f t="shared" ref="H8:H13" si="0">F8+G8</f>
        <v>0</v>
      </c>
      <c r="I8" s="439">
        <f>'1. Description'!D66+0</f>
        <v>0</v>
      </c>
      <c r="J8" s="213">
        <f t="shared" ref="J8:J13" si="1">F8*I8*12</f>
        <v>0</v>
      </c>
      <c r="K8" s="440"/>
      <c r="L8" s="440"/>
      <c r="M8" s="440"/>
      <c r="N8" s="440"/>
      <c r="O8" s="440"/>
      <c r="P8" s="440"/>
      <c r="Q8" s="441"/>
      <c r="R8" s="440"/>
      <c r="S8" s="440"/>
      <c r="T8" s="440"/>
      <c r="U8" s="440"/>
      <c r="V8" s="440"/>
      <c r="W8" s="440"/>
      <c r="X8" s="440"/>
      <c r="Y8" s="440"/>
      <c r="Z8" s="440"/>
      <c r="AA8" s="440"/>
      <c r="AC8" s="442">
        <v>446</v>
      </c>
      <c r="AD8" s="443">
        <v>535</v>
      </c>
      <c r="AE8" s="443">
        <f>AC8*1.6</f>
        <v>713.6</v>
      </c>
      <c r="AF8" s="442">
        <v>498</v>
      </c>
      <c r="AG8" s="443">
        <v>597</v>
      </c>
      <c r="AH8" s="443">
        <f>AF8*1.6</f>
        <v>796.80000000000007</v>
      </c>
      <c r="AI8" s="442">
        <v>448</v>
      </c>
      <c r="AJ8" s="443">
        <v>538</v>
      </c>
      <c r="AK8" s="443">
        <f>AI8*1.6</f>
        <v>716.80000000000007</v>
      </c>
      <c r="AL8" s="442">
        <v>400</v>
      </c>
      <c r="AM8" s="443">
        <v>480</v>
      </c>
      <c r="AN8" s="443">
        <f>AL8*1.6</f>
        <v>640</v>
      </c>
      <c r="AO8" s="442">
        <v>467</v>
      </c>
      <c r="AP8" s="443">
        <v>561</v>
      </c>
      <c r="AQ8" s="443">
        <f>AO8*1.6</f>
        <v>747.2</v>
      </c>
      <c r="AR8" s="442">
        <v>491</v>
      </c>
      <c r="AS8" s="443">
        <v>589</v>
      </c>
      <c r="AT8" s="443">
        <f>AR8*1.6</f>
        <v>785.6</v>
      </c>
      <c r="AU8" s="442">
        <v>373</v>
      </c>
      <c r="AV8" s="443">
        <v>447</v>
      </c>
      <c r="AW8" s="443">
        <f>AU8*1.6</f>
        <v>596.80000000000007</v>
      </c>
      <c r="AX8" s="442">
        <v>390</v>
      </c>
      <c r="AY8" s="443">
        <v>468</v>
      </c>
      <c r="AZ8" s="443">
        <f>AX8*1.6</f>
        <v>624</v>
      </c>
      <c r="BA8" s="442">
        <v>400</v>
      </c>
      <c r="BB8" s="443">
        <v>480</v>
      </c>
      <c r="BC8" s="443">
        <f>BA8*1.6</f>
        <v>640</v>
      </c>
      <c r="BD8" s="442">
        <v>376</v>
      </c>
      <c r="BE8" s="443">
        <v>452</v>
      </c>
      <c r="BF8" s="443">
        <f>BD8*1.6</f>
        <v>601.6</v>
      </c>
      <c r="BG8" s="442">
        <v>424</v>
      </c>
      <c r="BH8" s="443">
        <v>509</v>
      </c>
      <c r="BI8" s="443">
        <f>BG8*1.6</f>
        <v>678.40000000000009</v>
      </c>
      <c r="BJ8" s="442">
        <v>438</v>
      </c>
      <c r="BK8" s="443">
        <v>526</v>
      </c>
      <c r="BL8" s="443">
        <f>BJ8*1.6</f>
        <v>700.80000000000007</v>
      </c>
      <c r="BM8" s="442">
        <v>373</v>
      </c>
      <c r="BN8" s="443">
        <v>447</v>
      </c>
      <c r="BO8" s="443">
        <f>BM8*1.6</f>
        <v>596.80000000000007</v>
      </c>
      <c r="BP8" s="442">
        <v>430</v>
      </c>
      <c r="BQ8" s="443">
        <v>516</v>
      </c>
      <c r="BR8" s="443">
        <f>BP8*1.6</f>
        <v>688</v>
      </c>
      <c r="BS8" s="442">
        <v>373</v>
      </c>
      <c r="BT8" s="443">
        <v>447</v>
      </c>
      <c r="BU8" s="443">
        <f>BS8*1.6</f>
        <v>596.80000000000007</v>
      </c>
      <c r="BV8" s="442">
        <v>410</v>
      </c>
      <c r="BW8" s="443">
        <v>492</v>
      </c>
      <c r="BX8" s="443">
        <f>BV8*1.6</f>
        <v>656</v>
      </c>
      <c r="BY8" s="442">
        <v>410</v>
      </c>
      <c r="BZ8" s="443">
        <v>492</v>
      </c>
      <c r="CA8" s="443">
        <f>BY8*1.6</f>
        <v>656</v>
      </c>
      <c r="CB8" s="442">
        <v>557</v>
      </c>
      <c r="CC8" s="443">
        <v>669</v>
      </c>
      <c r="CD8" s="443">
        <f>CB8*1.6</f>
        <v>891.2</v>
      </c>
      <c r="CE8" s="442">
        <v>373</v>
      </c>
      <c r="CF8" s="443">
        <v>447</v>
      </c>
      <c r="CG8" s="444">
        <f>CE8*1.6</f>
        <v>596.80000000000007</v>
      </c>
    </row>
    <row r="9" spans="1:107" s="84" customFormat="1" ht="15">
      <c r="A9" s="161"/>
      <c r="B9" s="52"/>
      <c r="C9" s="437" t="str">
        <f>bedroom_type2</f>
        <v>0 bedroom</v>
      </c>
      <c r="D9" s="437"/>
      <c r="E9" s="438"/>
      <c r="F9" s="768"/>
      <c r="G9" s="768"/>
      <c r="H9" s="769">
        <f t="shared" si="0"/>
        <v>0</v>
      </c>
      <c r="I9" s="439">
        <f>'1. Description'!D67+0</f>
        <v>0</v>
      </c>
      <c r="J9" s="213">
        <f t="shared" si="1"/>
        <v>0</v>
      </c>
      <c r="Q9" s="441"/>
      <c r="AC9" s="442">
        <v>535</v>
      </c>
      <c r="AD9" s="443">
        <v>642</v>
      </c>
      <c r="AE9" s="443">
        <f>AC9*1.6</f>
        <v>856</v>
      </c>
      <c r="AF9" s="442">
        <v>597</v>
      </c>
      <c r="AG9" s="443">
        <v>717</v>
      </c>
      <c r="AH9" s="443">
        <f>AF9*1.6</f>
        <v>955.2</v>
      </c>
      <c r="AI9" s="442">
        <v>538</v>
      </c>
      <c r="AJ9" s="443">
        <v>646</v>
      </c>
      <c r="AK9" s="443">
        <f>AI9*1.6</f>
        <v>860.80000000000007</v>
      </c>
      <c r="AL9" s="442">
        <v>480</v>
      </c>
      <c r="AM9" s="443">
        <v>576</v>
      </c>
      <c r="AN9" s="443">
        <f>AL9*1.6</f>
        <v>768</v>
      </c>
      <c r="AO9" s="442">
        <v>561</v>
      </c>
      <c r="AP9" s="443">
        <v>673</v>
      </c>
      <c r="AQ9" s="443">
        <f>AO9*1.6</f>
        <v>897.6</v>
      </c>
      <c r="AR9" s="442">
        <v>590</v>
      </c>
      <c r="AS9" s="443">
        <v>708</v>
      </c>
      <c r="AT9" s="443">
        <f>AR9*1.6</f>
        <v>944</v>
      </c>
      <c r="AU9" s="442">
        <v>447</v>
      </c>
      <c r="AV9" s="443">
        <v>537</v>
      </c>
      <c r="AW9" s="443">
        <f>AU9*1.6</f>
        <v>715.2</v>
      </c>
      <c r="AX9" s="442">
        <v>467</v>
      </c>
      <c r="AY9" s="443">
        <v>561</v>
      </c>
      <c r="AZ9" s="443">
        <f>AX9*1.6</f>
        <v>747.2</v>
      </c>
      <c r="BA9" s="442">
        <v>480</v>
      </c>
      <c r="BB9" s="443">
        <v>576</v>
      </c>
      <c r="BC9" s="443">
        <f>BA9*1.6</f>
        <v>768</v>
      </c>
      <c r="BD9" s="442">
        <v>452</v>
      </c>
      <c r="BE9" s="443">
        <v>543</v>
      </c>
      <c r="BF9" s="443">
        <f>BD9*1.6</f>
        <v>723.2</v>
      </c>
      <c r="BG9" s="442">
        <v>510</v>
      </c>
      <c r="BH9" s="443">
        <v>612</v>
      </c>
      <c r="BI9" s="443">
        <f>BG9*1.6</f>
        <v>816</v>
      </c>
      <c r="BJ9" s="442">
        <v>526</v>
      </c>
      <c r="BK9" s="443">
        <v>631</v>
      </c>
      <c r="BL9" s="443">
        <f>BJ9*1.6</f>
        <v>841.6</v>
      </c>
      <c r="BM9" s="442">
        <v>447</v>
      </c>
      <c r="BN9" s="443">
        <v>537</v>
      </c>
      <c r="BO9" s="443">
        <f>BM9*1.6</f>
        <v>715.2</v>
      </c>
      <c r="BP9" s="442">
        <v>516</v>
      </c>
      <c r="BQ9" s="443">
        <v>619</v>
      </c>
      <c r="BR9" s="443">
        <f>BP9*1.6</f>
        <v>825.6</v>
      </c>
      <c r="BS9" s="442">
        <v>447</v>
      </c>
      <c r="BT9" s="443">
        <v>537</v>
      </c>
      <c r="BU9" s="443">
        <f>BS9*1.6</f>
        <v>715.2</v>
      </c>
      <c r="BV9" s="442">
        <v>492</v>
      </c>
      <c r="BW9" s="443">
        <v>591</v>
      </c>
      <c r="BX9" s="443">
        <f>BV9*1.6</f>
        <v>787.2</v>
      </c>
      <c r="BY9" s="442">
        <v>491</v>
      </c>
      <c r="BZ9" s="443">
        <v>589</v>
      </c>
      <c r="CA9" s="443">
        <f>BY9*1.6</f>
        <v>785.6</v>
      </c>
      <c r="CB9" s="442">
        <v>818</v>
      </c>
      <c r="CC9" s="443">
        <v>982</v>
      </c>
      <c r="CD9" s="443">
        <f>CB9*1.6</f>
        <v>1308.8000000000002</v>
      </c>
      <c r="CE9" s="442">
        <v>447</v>
      </c>
      <c r="CF9" s="443">
        <v>537</v>
      </c>
      <c r="CG9" s="444">
        <f>CE9*1.6</f>
        <v>715.2</v>
      </c>
    </row>
    <row r="10" spans="1:107" s="84" customFormat="1" ht="15">
      <c r="A10" s="161"/>
      <c r="B10" s="52"/>
      <c r="C10" s="437" t="str">
        <f>bedroom_type3</f>
        <v>1 bedroom</v>
      </c>
      <c r="D10" s="437"/>
      <c r="E10" s="438"/>
      <c r="F10" s="768"/>
      <c r="G10" s="768"/>
      <c r="H10" s="769">
        <f t="shared" si="0"/>
        <v>0</v>
      </c>
      <c r="I10" s="439">
        <f>'1. Description'!D68+0</f>
        <v>0</v>
      </c>
      <c r="J10" s="213">
        <f t="shared" si="1"/>
        <v>0</v>
      </c>
      <c r="Q10" s="441"/>
      <c r="AC10" s="442">
        <v>618</v>
      </c>
      <c r="AD10" s="443">
        <v>742</v>
      </c>
      <c r="AE10" s="443">
        <f>AC10*1.6</f>
        <v>988.80000000000007</v>
      </c>
      <c r="AF10" s="442">
        <v>690</v>
      </c>
      <c r="AG10" s="443">
        <v>828</v>
      </c>
      <c r="AH10" s="443">
        <f>AF10*1.6</f>
        <v>1104</v>
      </c>
      <c r="AI10" s="442">
        <v>622</v>
      </c>
      <c r="AJ10" s="443">
        <v>747</v>
      </c>
      <c r="AK10" s="443">
        <f>AI10*1.6</f>
        <v>995.2</v>
      </c>
      <c r="AL10" s="442">
        <v>555</v>
      </c>
      <c r="AM10" s="443">
        <v>666</v>
      </c>
      <c r="AN10" s="443">
        <f>AL10*1.6</f>
        <v>888</v>
      </c>
      <c r="AO10" s="442">
        <v>648</v>
      </c>
      <c r="AP10" s="443">
        <v>778</v>
      </c>
      <c r="AQ10" s="443">
        <f>AO10*1.6</f>
        <v>1036.8</v>
      </c>
      <c r="AR10" s="442">
        <v>681</v>
      </c>
      <c r="AS10" s="443">
        <v>817</v>
      </c>
      <c r="AT10" s="443">
        <f>AR10*1.6</f>
        <v>1089.6000000000001</v>
      </c>
      <c r="AU10" s="442">
        <v>517</v>
      </c>
      <c r="AV10" s="443">
        <v>621</v>
      </c>
      <c r="AW10" s="443">
        <f>AU10*1.6</f>
        <v>827.2</v>
      </c>
      <c r="AX10" s="442">
        <v>540</v>
      </c>
      <c r="AY10" s="443">
        <v>648</v>
      </c>
      <c r="AZ10" s="443">
        <f>AX10*1.6</f>
        <v>864</v>
      </c>
      <c r="BA10" s="442">
        <v>555</v>
      </c>
      <c r="BB10" s="443">
        <v>666</v>
      </c>
      <c r="BC10" s="443">
        <f>BA10*1.6</f>
        <v>888</v>
      </c>
      <c r="BD10" s="442">
        <v>522</v>
      </c>
      <c r="BE10" s="443">
        <v>627</v>
      </c>
      <c r="BF10" s="443">
        <f>BD10*1.6</f>
        <v>835.2</v>
      </c>
      <c r="BG10" s="442">
        <v>588</v>
      </c>
      <c r="BH10" s="443">
        <v>706</v>
      </c>
      <c r="BI10" s="443">
        <f>BG10*1.6</f>
        <v>940.80000000000007</v>
      </c>
      <c r="BJ10" s="442">
        <v>608</v>
      </c>
      <c r="BK10" s="443">
        <v>729</v>
      </c>
      <c r="BL10" s="443">
        <f>BJ10*1.6</f>
        <v>972.80000000000007</v>
      </c>
      <c r="BM10" s="442">
        <v>517</v>
      </c>
      <c r="BN10" s="443">
        <v>621</v>
      </c>
      <c r="BO10" s="443">
        <f>BM10*1.6</f>
        <v>827.2</v>
      </c>
      <c r="BP10" s="442">
        <v>596</v>
      </c>
      <c r="BQ10" s="443">
        <v>716</v>
      </c>
      <c r="BR10" s="443">
        <f>BP10*1.6</f>
        <v>953.6</v>
      </c>
      <c r="BS10" s="442">
        <v>517</v>
      </c>
      <c r="BT10" s="443">
        <v>621</v>
      </c>
      <c r="BU10" s="443">
        <f>BS10*1.6</f>
        <v>827.2</v>
      </c>
      <c r="BV10" s="442">
        <v>569</v>
      </c>
      <c r="BW10" s="443">
        <v>683</v>
      </c>
      <c r="BX10" s="443">
        <f>BV10*1.6</f>
        <v>910.40000000000009</v>
      </c>
      <c r="BY10" s="442">
        <v>568</v>
      </c>
      <c r="BZ10" s="443">
        <v>681</v>
      </c>
      <c r="CA10" s="443">
        <f>BY10*1.6</f>
        <v>908.80000000000007</v>
      </c>
      <c r="CB10" s="442">
        <v>946</v>
      </c>
      <c r="CC10" s="443">
        <v>1135</v>
      </c>
      <c r="CD10" s="443">
        <f>CB10*1.6</f>
        <v>1513.6000000000001</v>
      </c>
      <c r="CE10" s="442">
        <v>517</v>
      </c>
      <c r="CF10" s="443">
        <v>621</v>
      </c>
      <c r="CG10" s="444">
        <f>CE10*1.6</f>
        <v>827.2</v>
      </c>
    </row>
    <row r="11" spans="1:107" s="84" customFormat="1" ht="15.75" thickBot="1">
      <c r="A11" s="161"/>
      <c r="B11" s="52"/>
      <c r="C11" s="437" t="str">
        <f>bedroom_type4</f>
        <v>2 bedrooms</v>
      </c>
      <c r="D11" s="437"/>
      <c r="E11" s="438"/>
      <c r="F11" s="768"/>
      <c r="G11" s="768"/>
      <c r="H11" s="769">
        <f t="shared" si="0"/>
        <v>0</v>
      </c>
      <c r="I11" s="439">
        <f>'1. Description'!D69+0</f>
        <v>0</v>
      </c>
      <c r="J11" s="213">
        <f t="shared" si="1"/>
        <v>0</v>
      </c>
      <c r="Q11" s="441"/>
      <c r="AC11" s="445">
        <v>690</v>
      </c>
      <c r="AD11" s="446">
        <v>828</v>
      </c>
      <c r="AE11" s="446">
        <f>AC11*1.6</f>
        <v>1104</v>
      </c>
      <c r="AF11" s="445">
        <v>770</v>
      </c>
      <c r="AG11" s="446">
        <v>924</v>
      </c>
      <c r="AH11" s="446">
        <f>AF11*1.6</f>
        <v>1232</v>
      </c>
      <c r="AI11" s="445">
        <v>695</v>
      </c>
      <c r="AJ11" s="446">
        <v>834</v>
      </c>
      <c r="AK11" s="446">
        <f>AI11*1.6</f>
        <v>1112</v>
      </c>
      <c r="AL11" s="445">
        <v>618</v>
      </c>
      <c r="AM11" s="446">
        <v>742</v>
      </c>
      <c r="AN11" s="446">
        <f>AL11*1.6</f>
        <v>988.80000000000007</v>
      </c>
      <c r="AO11" s="445">
        <v>723</v>
      </c>
      <c r="AP11" s="446">
        <v>868</v>
      </c>
      <c r="AQ11" s="446">
        <f>AO11*1.6</f>
        <v>1156.8</v>
      </c>
      <c r="AR11" s="445">
        <v>760</v>
      </c>
      <c r="AS11" s="446">
        <v>912</v>
      </c>
      <c r="AT11" s="446">
        <f>AR11*1.6</f>
        <v>1216</v>
      </c>
      <c r="AU11" s="445">
        <v>577</v>
      </c>
      <c r="AV11" s="446">
        <v>693</v>
      </c>
      <c r="AW11" s="446">
        <f>AU11*1.6</f>
        <v>923.2</v>
      </c>
      <c r="AX11" s="445">
        <v>603</v>
      </c>
      <c r="AY11" s="446">
        <v>724</v>
      </c>
      <c r="AZ11" s="446">
        <f>AX11*1.6</f>
        <v>964.80000000000007</v>
      </c>
      <c r="BA11" s="445">
        <v>618</v>
      </c>
      <c r="BB11" s="446">
        <v>742</v>
      </c>
      <c r="BC11" s="446">
        <f>BA11*1.6</f>
        <v>988.80000000000007</v>
      </c>
      <c r="BD11" s="445">
        <v>582</v>
      </c>
      <c r="BE11" s="446">
        <v>699</v>
      </c>
      <c r="BF11" s="446">
        <f>BD11*1.6</f>
        <v>931.2</v>
      </c>
      <c r="BG11" s="445">
        <v>656</v>
      </c>
      <c r="BH11" s="446">
        <v>787</v>
      </c>
      <c r="BI11" s="446">
        <f>BG11*1.6</f>
        <v>1049.6000000000001</v>
      </c>
      <c r="BJ11" s="445">
        <v>678</v>
      </c>
      <c r="BK11" s="446">
        <v>814</v>
      </c>
      <c r="BL11" s="446">
        <f>BJ11*1.6</f>
        <v>1084.8</v>
      </c>
      <c r="BM11" s="445">
        <v>577</v>
      </c>
      <c r="BN11" s="446">
        <v>693</v>
      </c>
      <c r="BO11" s="446">
        <f>BM11*1.6</f>
        <v>923.2</v>
      </c>
      <c r="BP11" s="445">
        <v>665</v>
      </c>
      <c r="BQ11" s="446">
        <v>798</v>
      </c>
      <c r="BR11" s="446">
        <f>BP11*1.6</f>
        <v>1064</v>
      </c>
      <c r="BS11" s="445">
        <v>577</v>
      </c>
      <c r="BT11" s="446">
        <v>693</v>
      </c>
      <c r="BU11" s="446">
        <f>BS11*1.6</f>
        <v>923.2</v>
      </c>
      <c r="BV11" s="445">
        <v>635</v>
      </c>
      <c r="BW11" s="446">
        <v>762</v>
      </c>
      <c r="BX11" s="446">
        <f>BV11*1.6</f>
        <v>1016</v>
      </c>
      <c r="BY11" s="445">
        <v>633</v>
      </c>
      <c r="BZ11" s="446">
        <v>760</v>
      </c>
      <c r="CA11" s="446">
        <f>BY11*1.6</f>
        <v>1012.8000000000001</v>
      </c>
      <c r="CB11" s="445">
        <v>1055</v>
      </c>
      <c r="CC11" s="446">
        <v>1266</v>
      </c>
      <c r="CD11" s="446">
        <f>CB11*1.6</f>
        <v>1688</v>
      </c>
      <c r="CE11" s="445">
        <v>577</v>
      </c>
      <c r="CF11" s="446">
        <v>693</v>
      </c>
      <c r="CG11" s="447">
        <f>CE11*1.6</f>
        <v>923.2</v>
      </c>
    </row>
    <row r="12" spans="1:107" s="84" customFormat="1" ht="15.75" thickTop="1">
      <c r="A12" s="161"/>
      <c r="B12" s="52"/>
      <c r="C12" s="437" t="str">
        <f>bedroom_type5</f>
        <v>3 bedrooms</v>
      </c>
      <c r="D12" s="437"/>
      <c r="E12" s="438"/>
      <c r="F12" s="768"/>
      <c r="G12" s="768"/>
      <c r="H12" s="769">
        <f t="shared" si="0"/>
        <v>0</v>
      </c>
      <c r="I12" s="439">
        <f>'1. Description'!D70+0</f>
        <v>0</v>
      </c>
      <c r="J12" s="213">
        <f t="shared" si="1"/>
        <v>0</v>
      </c>
      <c r="Q12" s="441"/>
      <c r="AC12" s="448">
        <f>DATE(95,1,12)</f>
        <v>34711</v>
      </c>
      <c r="AD12" s="84" t="s">
        <v>1412</v>
      </c>
    </row>
    <row r="13" spans="1:107" s="84" customFormat="1" ht="15.75" thickBot="1">
      <c r="A13" s="161"/>
      <c r="B13" s="52"/>
      <c r="C13" s="437" t="str">
        <f>bedroom_type6</f>
        <v>4 bedrooms</v>
      </c>
      <c r="D13" s="437"/>
      <c r="E13" s="438"/>
      <c r="F13" s="768"/>
      <c r="G13" s="768"/>
      <c r="H13" s="769">
        <f t="shared" si="0"/>
        <v>0</v>
      </c>
      <c r="I13" s="439">
        <f>'1. Description'!D71+0</f>
        <v>0</v>
      </c>
      <c r="J13" s="213">
        <f t="shared" si="1"/>
        <v>0</v>
      </c>
      <c r="Q13" s="441"/>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103"/>
      <c r="BM13" s="103"/>
      <c r="BN13" s="103"/>
      <c r="BO13" s="103"/>
      <c r="BP13" s="103"/>
      <c r="BQ13" s="103"/>
      <c r="BR13" s="103"/>
      <c r="BS13" s="449"/>
      <c r="BT13" s="449"/>
      <c r="BU13" s="449"/>
      <c r="BV13" s="449"/>
      <c r="CA13" s="449"/>
    </row>
    <row r="14" spans="1:107" ht="12.75" customHeight="1" thickBot="1">
      <c r="A14" s="161"/>
      <c r="B14" s="52"/>
      <c r="C14" s="52"/>
      <c r="D14" s="52"/>
      <c r="E14" s="52"/>
      <c r="F14" s="450"/>
      <c r="G14" s="194"/>
      <c r="H14" s="52"/>
      <c r="I14" s="157"/>
      <c r="J14" s="195"/>
      <c r="K14" s="451"/>
      <c r="L14" s="451"/>
      <c r="M14" s="451"/>
      <c r="N14" s="451"/>
      <c r="O14" s="451"/>
      <c r="P14" s="451"/>
      <c r="Q14" s="452"/>
      <c r="R14" s="451"/>
      <c r="S14" s="451"/>
      <c r="T14" s="451"/>
      <c r="U14" s="451"/>
      <c r="V14" s="451"/>
      <c r="W14" s="451"/>
      <c r="X14" s="451"/>
      <c r="Y14" s="451"/>
      <c r="Z14" s="451"/>
      <c r="AA14" s="451"/>
      <c r="AC14" s="453"/>
      <c r="AE14" s="454"/>
      <c r="AF14" s="455"/>
      <c r="AG14" s="455"/>
      <c r="AH14" s="455"/>
      <c r="AJ14" s="456"/>
    </row>
    <row r="15" spans="1:107" ht="15.75" customHeight="1">
      <c r="A15" s="161">
        <f>A7+1</f>
        <v>223</v>
      </c>
      <c r="B15" s="52" t="s">
        <v>636</v>
      </c>
      <c r="C15" s="138" t="s">
        <v>1413</v>
      </c>
      <c r="D15" s="138"/>
      <c r="E15" s="138"/>
      <c r="F15" s="457"/>
      <c r="G15" s="458"/>
      <c r="H15" s="138"/>
      <c r="I15" s="252"/>
      <c r="J15" s="459"/>
      <c r="AC15" s="454"/>
      <c r="AD15" s="454"/>
      <c r="AE15" s="454"/>
      <c r="AF15" s="454"/>
      <c r="AG15" s="454"/>
      <c r="AH15" s="454"/>
      <c r="AI15" s="454"/>
      <c r="AK15" s="460"/>
      <c r="AL15" s="460"/>
      <c r="AM15" s="1331"/>
      <c r="AN15" s="1332"/>
      <c r="AO15" s="1332"/>
      <c r="AP15" s="1332"/>
      <c r="AQ15" s="1332"/>
    </row>
    <row r="16" spans="1:107" s="84" customFormat="1" ht="15.75" customHeight="1">
      <c r="A16" s="161"/>
      <c r="B16" s="52"/>
      <c r="C16" s="437" t="str">
        <f>bedroom_type1</f>
        <v>SRO</v>
      </c>
      <c r="D16" s="437"/>
      <c r="E16" s="438"/>
      <c r="F16" s="768"/>
      <c r="G16" s="768"/>
      <c r="H16" s="769">
        <f t="shared" ref="H16:H21" si="2">F16+G16</f>
        <v>0</v>
      </c>
      <c r="I16" s="439">
        <f>'1. Description'!E66+0</f>
        <v>0</v>
      </c>
      <c r="J16" s="213">
        <f t="shared" ref="J16:J21" si="3">F16*I16*12</f>
        <v>0</v>
      </c>
      <c r="Q16" s="441"/>
      <c r="AC16" s="454"/>
      <c r="AD16" s="454"/>
      <c r="AE16" s="454"/>
      <c r="AF16" s="454"/>
      <c r="AG16" s="454"/>
      <c r="AH16" s="454"/>
      <c r="AI16" s="454"/>
      <c r="AJ16" s="103"/>
      <c r="AK16" s="454"/>
      <c r="AL16" s="454"/>
      <c r="AM16" s="454"/>
      <c r="AN16" s="454"/>
      <c r="AO16" s="454"/>
      <c r="AP16" s="454"/>
      <c r="AQ16" s="454"/>
      <c r="BL16" s="103"/>
      <c r="BM16" s="103"/>
      <c r="BN16" s="103"/>
      <c r="BO16" s="103"/>
      <c r="BP16" s="103"/>
      <c r="BQ16" s="103"/>
      <c r="BR16" s="103"/>
    </row>
    <row r="17" spans="1:70" s="84" customFormat="1" ht="15">
      <c r="A17" s="161"/>
      <c r="B17" s="52"/>
      <c r="C17" s="437" t="str">
        <f>bedroom_type2</f>
        <v>0 bedroom</v>
      </c>
      <c r="D17" s="437"/>
      <c r="E17" s="438"/>
      <c r="F17" s="768"/>
      <c r="G17" s="768"/>
      <c r="H17" s="769">
        <f t="shared" si="2"/>
        <v>0</v>
      </c>
      <c r="I17" s="439">
        <f>'1. Description'!E67+0</f>
        <v>0</v>
      </c>
      <c r="J17" s="213">
        <f t="shared" si="3"/>
        <v>0</v>
      </c>
      <c r="Q17" s="441"/>
      <c r="AC17" s="454"/>
      <c r="AD17" s="454"/>
      <c r="AE17" s="454"/>
      <c r="AF17" s="454"/>
      <c r="AG17" s="454"/>
      <c r="AH17" s="454"/>
      <c r="AI17" s="454"/>
      <c r="AJ17" s="103"/>
      <c r="AK17" s="454"/>
      <c r="AL17" s="454"/>
      <c r="AM17" s="454"/>
      <c r="AN17" s="454"/>
      <c r="AO17" s="454"/>
      <c r="AP17" s="454"/>
      <c r="AQ17" s="454"/>
      <c r="BL17" s="103"/>
      <c r="BM17" s="103"/>
      <c r="BN17" s="103"/>
      <c r="BO17" s="103"/>
      <c r="BP17" s="103"/>
      <c r="BQ17" s="103"/>
      <c r="BR17" s="103"/>
    </row>
    <row r="18" spans="1:70" s="84" customFormat="1" ht="15">
      <c r="A18" s="161"/>
      <c r="B18" s="52"/>
      <c r="C18" s="437" t="str">
        <f>bedroom_type3</f>
        <v>1 bedroom</v>
      </c>
      <c r="D18" s="437"/>
      <c r="E18" s="438"/>
      <c r="F18" s="768"/>
      <c r="G18" s="768"/>
      <c r="H18" s="769">
        <f t="shared" si="2"/>
        <v>0</v>
      </c>
      <c r="I18" s="439">
        <f>'1. Description'!E68+0</f>
        <v>0</v>
      </c>
      <c r="J18" s="213">
        <f t="shared" si="3"/>
        <v>0</v>
      </c>
      <c r="Q18" s="441"/>
      <c r="AC18" s="454"/>
      <c r="AD18" s="454"/>
      <c r="AE18" s="454"/>
      <c r="AF18" s="454"/>
      <c r="AG18" s="454"/>
      <c r="AH18" s="454"/>
      <c r="AI18" s="454"/>
      <c r="AJ18" s="103"/>
      <c r="AK18" s="454"/>
      <c r="AL18" s="454"/>
      <c r="AM18" s="454"/>
      <c r="AN18" s="454"/>
      <c r="AO18" s="454"/>
      <c r="AP18" s="454"/>
      <c r="AQ18" s="454"/>
      <c r="BM18" s="461"/>
      <c r="BN18" s="461"/>
      <c r="BO18" s="461"/>
    </row>
    <row r="19" spans="1:70" s="84" customFormat="1" ht="15">
      <c r="A19" s="161"/>
      <c r="B19" s="52"/>
      <c r="C19" s="437" t="str">
        <f>bedroom_type4</f>
        <v>2 bedrooms</v>
      </c>
      <c r="D19" s="437"/>
      <c r="E19" s="438"/>
      <c r="F19" s="768"/>
      <c r="G19" s="768"/>
      <c r="H19" s="769">
        <f t="shared" si="2"/>
        <v>0</v>
      </c>
      <c r="I19" s="439">
        <f>'1. Description'!E69+0</f>
        <v>0</v>
      </c>
      <c r="J19" s="213">
        <f t="shared" si="3"/>
        <v>0</v>
      </c>
      <c r="K19" s="462"/>
      <c r="L19" s="462"/>
      <c r="M19" s="462"/>
      <c r="N19" s="462"/>
      <c r="O19" s="462"/>
      <c r="P19" s="462"/>
      <c r="Q19" s="441"/>
      <c r="R19" s="462"/>
      <c r="S19" s="462"/>
      <c r="T19" s="462"/>
      <c r="U19" s="462"/>
      <c r="V19" s="462"/>
      <c r="W19" s="462"/>
      <c r="X19" s="462"/>
      <c r="Y19" s="462"/>
      <c r="Z19" s="462"/>
      <c r="AA19" s="462"/>
      <c r="AC19" s="454"/>
      <c r="AD19" s="454"/>
      <c r="AE19" s="454"/>
      <c r="AF19" s="454"/>
      <c r="AG19" s="454"/>
      <c r="AH19" s="454"/>
      <c r="AI19" s="454"/>
      <c r="AJ19" s="103"/>
      <c r="AK19" s="454"/>
      <c r="AL19" s="454"/>
      <c r="AM19" s="454"/>
      <c r="AN19" s="454"/>
      <c r="AO19" s="454"/>
      <c r="AP19" s="454"/>
      <c r="AQ19" s="454"/>
    </row>
    <row r="20" spans="1:70" s="84" customFormat="1" ht="15">
      <c r="A20" s="161"/>
      <c r="B20" s="52"/>
      <c r="C20" s="437" t="str">
        <f>bedroom_type5</f>
        <v>3 bedrooms</v>
      </c>
      <c r="D20" s="437"/>
      <c r="E20" s="438"/>
      <c r="F20" s="768"/>
      <c r="G20" s="768"/>
      <c r="H20" s="769">
        <f t="shared" si="2"/>
        <v>0</v>
      </c>
      <c r="I20" s="439">
        <f>'1. Description'!E70+0</f>
        <v>0</v>
      </c>
      <c r="J20" s="213">
        <f t="shared" si="3"/>
        <v>0</v>
      </c>
      <c r="K20" s="462"/>
      <c r="L20" s="462"/>
      <c r="M20" s="462"/>
      <c r="N20" s="462"/>
      <c r="O20" s="462"/>
      <c r="P20" s="462"/>
      <c r="Q20" s="441"/>
      <c r="R20" s="462"/>
      <c r="S20" s="462"/>
      <c r="T20" s="462"/>
      <c r="U20" s="462"/>
      <c r="V20" s="462"/>
      <c r="W20" s="462"/>
      <c r="X20" s="462"/>
      <c r="Y20" s="462"/>
      <c r="Z20" s="462"/>
      <c r="AA20" s="462"/>
      <c r="AC20" s="454"/>
      <c r="AD20" s="454"/>
      <c r="AE20" s="454"/>
      <c r="AF20" s="454"/>
      <c r="AG20" s="454"/>
      <c r="AH20" s="454"/>
      <c r="AI20" s="454"/>
      <c r="AJ20" s="103"/>
      <c r="AK20" s="454"/>
      <c r="AL20" s="454"/>
      <c r="AM20" s="454"/>
      <c r="AN20" s="454"/>
      <c r="AO20" s="454"/>
      <c r="AP20" s="454"/>
      <c r="AQ20" s="454"/>
    </row>
    <row r="21" spans="1:70" s="84" customFormat="1" ht="15">
      <c r="A21" s="161"/>
      <c r="B21" s="52"/>
      <c r="C21" s="437" t="str">
        <f>bedroom_type6</f>
        <v>4 bedrooms</v>
      </c>
      <c r="D21" s="437"/>
      <c r="E21" s="438"/>
      <c r="F21" s="768"/>
      <c r="G21" s="768"/>
      <c r="H21" s="769">
        <f t="shared" si="2"/>
        <v>0</v>
      </c>
      <c r="I21" s="439">
        <f>'1. Description'!E71+0</f>
        <v>0</v>
      </c>
      <c r="J21" s="213">
        <f t="shared" si="3"/>
        <v>0</v>
      </c>
      <c r="Q21" s="441"/>
      <c r="AC21" s="454"/>
      <c r="AD21" s="454"/>
      <c r="AE21" s="454"/>
      <c r="AF21" s="454"/>
      <c r="AG21" s="454"/>
      <c r="AH21" s="454"/>
      <c r="AI21" s="454"/>
      <c r="AJ21" s="103"/>
      <c r="AK21" s="454"/>
      <c r="AL21" s="454"/>
      <c r="AM21" s="454"/>
      <c r="AN21" s="454"/>
      <c r="AO21" s="454"/>
      <c r="AP21" s="454"/>
      <c r="AQ21" s="454"/>
    </row>
    <row r="22" spans="1:70">
      <c r="A22" s="161"/>
      <c r="B22" s="52"/>
      <c r="C22" s="252"/>
      <c r="D22" s="252"/>
      <c r="E22" s="463"/>
      <c r="F22" s="464"/>
      <c r="G22" s="465"/>
      <c r="H22" s="252"/>
      <c r="I22" s="252"/>
      <c r="J22" s="459"/>
      <c r="AC22" s="454"/>
      <c r="AD22" s="454"/>
      <c r="AE22" s="454"/>
      <c r="AF22" s="454"/>
      <c r="AG22" s="454"/>
      <c r="AH22" s="454"/>
      <c r="AI22" s="454"/>
      <c r="AK22" s="454"/>
      <c r="AL22" s="454"/>
      <c r="AM22" s="454"/>
      <c r="AN22" s="454"/>
      <c r="AO22" s="454"/>
      <c r="AP22" s="454"/>
      <c r="AQ22" s="454"/>
    </row>
    <row r="23" spans="1:70" ht="15.75">
      <c r="A23" s="161">
        <f>A15+1</f>
        <v>224</v>
      </c>
      <c r="B23" s="52" t="s">
        <v>636</v>
      </c>
      <c r="C23" s="138" t="s">
        <v>1414</v>
      </c>
      <c r="D23" s="138"/>
      <c r="E23" s="192"/>
      <c r="F23" s="457"/>
      <c r="G23" s="458"/>
      <c r="H23" s="138"/>
      <c r="I23" s="252"/>
      <c r="J23" s="459"/>
      <c r="AC23" s="454"/>
      <c r="AD23" s="454"/>
      <c r="AE23" s="454"/>
      <c r="AF23" s="454"/>
      <c r="AG23" s="454"/>
      <c r="AH23" s="454"/>
      <c r="AI23" s="454"/>
      <c r="AK23" s="454"/>
      <c r="AL23" s="454"/>
      <c r="AM23" s="454"/>
      <c r="AN23" s="454"/>
      <c r="AO23" s="454"/>
      <c r="AP23" s="454"/>
      <c r="AQ23" s="454"/>
    </row>
    <row r="24" spans="1:70" s="84" customFormat="1" ht="15">
      <c r="A24" s="161"/>
      <c r="B24" s="52"/>
      <c r="C24" s="437" t="str">
        <f>bedroom_type1</f>
        <v>SRO</v>
      </c>
      <c r="D24" s="437"/>
      <c r="E24" s="438"/>
      <c r="F24" s="768"/>
      <c r="G24" s="768"/>
      <c r="H24" s="769">
        <f t="shared" ref="H24:H29" si="4">F24+G24</f>
        <v>0</v>
      </c>
      <c r="I24" s="439">
        <f>'1. Description'!F66+0</f>
        <v>0</v>
      </c>
      <c r="J24" s="213">
        <f t="shared" ref="J24:J29" si="5">F24*I24*12</f>
        <v>0</v>
      </c>
      <c r="K24" s="832"/>
      <c r="Q24" s="441"/>
      <c r="AC24" s="454"/>
      <c r="AD24" s="454"/>
      <c r="AE24" s="454"/>
      <c r="AF24" s="454"/>
      <c r="AG24" s="454"/>
      <c r="AH24" s="454"/>
      <c r="AI24" s="454"/>
      <c r="AJ24" s="103"/>
      <c r="AK24" s="454"/>
      <c r="AL24" s="454"/>
      <c r="AM24" s="454"/>
      <c r="AN24" s="454"/>
      <c r="AO24" s="454"/>
      <c r="AP24" s="454"/>
      <c r="AQ24" s="454"/>
    </row>
    <row r="25" spans="1:70" s="84" customFormat="1" ht="15">
      <c r="A25" s="161"/>
      <c r="B25" s="52"/>
      <c r="C25" s="437" t="str">
        <f>bedroom_type2</f>
        <v>0 bedroom</v>
      </c>
      <c r="D25" s="437"/>
      <c r="E25" s="438"/>
      <c r="F25" s="768"/>
      <c r="G25" s="768"/>
      <c r="H25" s="769">
        <f t="shared" si="4"/>
        <v>0</v>
      </c>
      <c r="I25" s="439">
        <f>'1. Description'!F67+0</f>
        <v>0</v>
      </c>
      <c r="J25" s="213">
        <f t="shared" si="5"/>
        <v>0</v>
      </c>
      <c r="Q25" s="441"/>
      <c r="AC25" s="454"/>
      <c r="AD25" s="454"/>
      <c r="AE25" s="454"/>
      <c r="AF25" s="454"/>
      <c r="AG25" s="454"/>
      <c r="AH25" s="454"/>
      <c r="AI25" s="454"/>
      <c r="AJ25" s="103"/>
      <c r="AK25" s="454"/>
      <c r="AL25" s="454"/>
      <c r="AM25" s="454"/>
      <c r="AN25" s="454"/>
      <c r="AO25" s="454"/>
      <c r="AP25" s="454"/>
      <c r="AQ25" s="454"/>
    </row>
    <row r="26" spans="1:70" s="84" customFormat="1" ht="15">
      <c r="A26" s="161"/>
      <c r="B26" s="52"/>
      <c r="C26" s="437" t="str">
        <f>bedroom_type3</f>
        <v>1 bedroom</v>
      </c>
      <c r="D26" s="437"/>
      <c r="E26" s="438"/>
      <c r="F26" s="768"/>
      <c r="G26" s="768"/>
      <c r="H26" s="769">
        <f t="shared" si="4"/>
        <v>0</v>
      </c>
      <c r="I26" s="439">
        <f>'1. Description'!F68+0</f>
        <v>0</v>
      </c>
      <c r="J26" s="213">
        <f t="shared" si="5"/>
        <v>0</v>
      </c>
      <c r="Q26" s="441"/>
      <c r="AC26" s="454"/>
      <c r="AD26" s="454"/>
      <c r="AE26" s="454"/>
      <c r="AF26" s="454"/>
      <c r="AG26" s="454"/>
      <c r="AH26" s="454"/>
      <c r="AI26" s="454"/>
      <c r="AJ26" s="103"/>
      <c r="AK26" s="454"/>
      <c r="AL26" s="454"/>
      <c r="AM26" s="454"/>
      <c r="AN26" s="454"/>
      <c r="AO26" s="454"/>
      <c r="AP26" s="454"/>
      <c r="AQ26" s="454"/>
    </row>
    <row r="27" spans="1:70" s="84" customFormat="1" ht="15">
      <c r="A27" s="161"/>
      <c r="B27" s="52"/>
      <c r="C27" s="437" t="str">
        <f>bedroom_type4</f>
        <v>2 bedrooms</v>
      </c>
      <c r="D27" s="437"/>
      <c r="E27" s="438"/>
      <c r="F27" s="768"/>
      <c r="G27" s="768"/>
      <c r="H27" s="769">
        <f t="shared" si="4"/>
        <v>0</v>
      </c>
      <c r="I27" s="439">
        <f>'1. Description'!F69+0</f>
        <v>0</v>
      </c>
      <c r="J27" s="213">
        <f t="shared" si="5"/>
        <v>0</v>
      </c>
      <c r="Q27" s="441"/>
      <c r="AC27" s="454"/>
      <c r="AD27" s="454"/>
      <c r="AE27" s="454"/>
      <c r="AF27" s="454"/>
      <c r="AG27" s="454"/>
      <c r="AH27" s="454"/>
      <c r="AI27" s="454"/>
      <c r="AJ27" s="103"/>
      <c r="AK27" s="454"/>
      <c r="AL27" s="454"/>
      <c r="AM27" s="454"/>
      <c r="AN27" s="454"/>
      <c r="AO27" s="454"/>
      <c r="AP27" s="454"/>
      <c r="AQ27" s="454"/>
    </row>
    <row r="28" spans="1:70" s="84" customFormat="1" ht="15">
      <c r="A28" s="161"/>
      <c r="B28" s="52"/>
      <c r="C28" s="437" t="str">
        <f>bedroom_type5</f>
        <v>3 bedrooms</v>
      </c>
      <c r="D28" s="437"/>
      <c r="E28" s="438"/>
      <c r="F28" s="768"/>
      <c r="G28" s="768"/>
      <c r="H28" s="769">
        <f t="shared" si="4"/>
        <v>0</v>
      </c>
      <c r="I28" s="439">
        <f>'1. Description'!F70+0</f>
        <v>0</v>
      </c>
      <c r="J28" s="213">
        <f t="shared" si="5"/>
        <v>0</v>
      </c>
      <c r="Q28" s="441"/>
      <c r="AC28" s="454"/>
      <c r="AD28" s="454"/>
      <c r="AE28" s="454"/>
      <c r="AF28" s="454"/>
      <c r="AG28" s="454"/>
      <c r="AH28" s="454"/>
      <c r="AI28" s="454"/>
      <c r="AJ28" s="103"/>
      <c r="AK28" s="454"/>
      <c r="AL28" s="454"/>
      <c r="AM28" s="454"/>
      <c r="AN28" s="454"/>
      <c r="AO28" s="454"/>
      <c r="AP28" s="454"/>
      <c r="AQ28" s="454"/>
    </row>
    <row r="29" spans="1:70" s="84" customFormat="1" ht="15">
      <c r="A29" s="161"/>
      <c r="B29" s="52"/>
      <c r="C29" s="437" t="str">
        <f>bedroom_type6</f>
        <v>4 bedrooms</v>
      </c>
      <c r="D29" s="437"/>
      <c r="E29" s="438"/>
      <c r="F29" s="768"/>
      <c r="G29" s="768"/>
      <c r="H29" s="769">
        <f t="shared" si="4"/>
        <v>0</v>
      </c>
      <c r="I29" s="439">
        <f>'1. Description'!F71+0</f>
        <v>0</v>
      </c>
      <c r="J29" s="213">
        <f t="shared" si="5"/>
        <v>0</v>
      </c>
      <c r="Q29" s="441"/>
      <c r="AC29" s="454"/>
      <c r="AD29" s="454"/>
      <c r="AE29" s="454"/>
      <c r="AF29" s="454"/>
      <c r="AG29" s="454"/>
      <c r="AH29" s="454"/>
      <c r="AI29" s="454"/>
      <c r="AJ29" s="103"/>
      <c r="AK29" s="454"/>
      <c r="AL29" s="454"/>
      <c r="AM29" s="454"/>
      <c r="AN29" s="454"/>
      <c r="AO29" s="454"/>
      <c r="AP29" s="454"/>
      <c r="AQ29" s="454"/>
    </row>
    <row r="30" spans="1:70">
      <c r="A30" s="161"/>
      <c r="B30" s="52"/>
      <c r="C30" s="252"/>
      <c r="D30" s="252"/>
      <c r="E30" s="463"/>
      <c r="F30" s="464"/>
      <c r="G30" s="465"/>
      <c r="H30" s="252"/>
      <c r="I30" s="252"/>
      <c r="J30" s="459"/>
      <c r="AC30" s="454"/>
      <c r="AD30" s="454"/>
      <c r="AE30" s="454"/>
      <c r="AF30" s="454"/>
      <c r="AG30" s="454"/>
      <c r="AH30" s="454"/>
      <c r="AI30" s="454"/>
      <c r="AK30" s="454"/>
      <c r="AL30" s="454"/>
      <c r="AM30" s="454"/>
      <c r="AN30" s="454"/>
      <c r="AO30" s="454"/>
      <c r="AP30" s="454"/>
      <c r="AQ30" s="454"/>
    </row>
    <row r="31" spans="1:70" ht="15.75">
      <c r="A31" s="161">
        <f>A23+1</f>
        <v>225</v>
      </c>
      <c r="B31" s="52" t="s">
        <v>636</v>
      </c>
      <c r="C31" s="833" t="str">
        <f>"Other Income " &amp;'1. Description'!$G$65</f>
        <v>Other Income (User-defined)</v>
      </c>
      <c r="D31" s="794"/>
      <c r="E31" s="192"/>
      <c r="F31" s="52"/>
      <c r="G31" s="834" t="str">
        <f>IF('1. Description'!$G$74&gt;0,"Below " &amp;'1. Description'!$G$65 &amp; " of the median income for the region"," ")</f>
        <v xml:space="preserve"> </v>
      </c>
      <c r="H31" s="52"/>
      <c r="I31" s="252"/>
      <c r="J31" s="459"/>
      <c r="AC31" s="454"/>
      <c r="AD31" s="454"/>
      <c r="AE31" s="454"/>
      <c r="AF31" s="454"/>
      <c r="AG31" s="454"/>
      <c r="AH31" s="454"/>
      <c r="AI31" s="454"/>
      <c r="AK31" s="454"/>
      <c r="AL31" s="454"/>
      <c r="AM31" s="454"/>
      <c r="AN31" s="454"/>
      <c r="AO31" s="454"/>
      <c r="AP31" s="454"/>
      <c r="AQ31" s="454"/>
    </row>
    <row r="32" spans="1:70" s="84" customFormat="1" ht="15">
      <c r="A32" s="161"/>
      <c r="B32" s="52"/>
      <c r="C32" s="437" t="str">
        <f>bedroom_type1</f>
        <v>SRO</v>
      </c>
      <c r="D32" s="437"/>
      <c r="E32" s="438"/>
      <c r="F32" s="768"/>
      <c r="G32" s="768"/>
      <c r="H32" s="769">
        <f t="shared" ref="H32:H37" si="6">F32+G32</f>
        <v>0</v>
      </c>
      <c r="I32" s="439">
        <f>'1. Description'!G66+0</f>
        <v>0</v>
      </c>
      <c r="J32" s="213">
        <f t="shared" ref="J32:J37" si="7">F32*I32*12</f>
        <v>0</v>
      </c>
      <c r="Q32" s="441"/>
      <c r="AC32" s="454"/>
      <c r="AD32" s="454"/>
      <c r="AE32" s="454"/>
      <c r="AF32" s="454"/>
      <c r="AG32" s="454"/>
      <c r="AH32" s="454"/>
      <c r="AI32" s="454"/>
      <c r="AJ32" s="103"/>
      <c r="AK32" s="454"/>
      <c r="AL32" s="454"/>
      <c r="AM32" s="454"/>
      <c r="AN32" s="454"/>
      <c r="AO32" s="454"/>
      <c r="AP32" s="454"/>
      <c r="AQ32" s="454"/>
    </row>
    <row r="33" spans="1:43" s="84" customFormat="1" ht="15">
      <c r="A33" s="161"/>
      <c r="B33" s="52"/>
      <c r="C33" s="437" t="str">
        <f>bedroom_type2</f>
        <v>0 bedroom</v>
      </c>
      <c r="D33" s="437"/>
      <c r="E33" s="438"/>
      <c r="F33" s="768"/>
      <c r="G33" s="768"/>
      <c r="H33" s="769">
        <f t="shared" si="6"/>
        <v>0</v>
      </c>
      <c r="I33" s="439">
        <f>'1. Description'!G67+0</f>
        <v>0</v>
      </c>
      <c r="J33" s="213">
        <f t="shared" si="7"/>
        <v>0</v>
      </c>
      <c r="Q33" s="441"/>
      <c r="AC33" s="454"/>
      <c r="AD33" s="454"/>
      <c r="AE33" s="454"/>
      <c r="AF33" s="454"/>
      <c r="AG33" s="454"/>
      <c r="AH33" s="454"/>
      <c r="AI33" s="454"/>
      <c r="AJ33" s="103"/>
      <c r="AK33" s="454"/>
      <c r="AL33" s="454"/>
      <c r="AM33" s="454"/>
      <c r="AN33" s="454"/>
      <c r="AO33" s="454"/>
      <c r="AP33" s="454"/>
      <c r="AQ33" s="454"/>
    </row>
    <row r="34" spans="1:43" s="84" customFormat="1" ht="15">
      <c r="A34" s="161"/>
      <c r="B34" s="52"/>
      <c r="C34" s="437" t="str">
        <f>bedroom_type3</f>
        <v>1 bedroom</v>
      </c>
      <c r="D34" s="437"/>
      <c r="E34" s="438"/>
      <c r="F34" s="768"/>
      <c r="G34" s="768"/>
      <c r="H34" s="769">
        <f t="shared" si="6"/>
        <v>0</v>
      </c>
      <c r="I34" s="439">
        <f>'1. Description'!G68+0</f>
        <v>0</v>
      </c>
      <c r="J34" s="213">
        <f t="shared" si="7"/>
        <v>0</v>
      </c>
      <c r="Q34" s="441"/>
      <c r="AC34" s="454"/>
      <c r="AD34" s="454"/>
      <c r="AE34" s="454"/>
      <c r="AF34" s="454"/>
      <c r="AG34" s="454"/>
      <c r="AH34" s="454"/>
      <c r="AI34" s="454"/>
      <c r="AJ34" s="103"/>
      <c r="AK34" s="454"/>
      <c r="AL34" s="454"/>
      <c r="AM34" s="454"/>
      <c r="AN34" s="454"/>
      <c r="AO34" s="454"/>
      <c r="AP34" s="454"/>
      <c r="AQ34" s="454"/>
    </row>
    <row r="35" spans="1:43" s="84" customFormat="1" ht="15">
      <c r="A35" s="161"/>
      <c r="B35" s="52"/>
      <c r="C35" s="437" t="str">
        <f>bedroom_type4</f>
        <v>2 bedrooms</v>
      </c>
      <c r="D35" s="437"/>
      <c r="E35" s="438"/>
      <c r="F35" s="768"/>
      <c r="G35" s="768"/>
      <c r="H35" s="769">
        <f t="shared" si="6"/>
        <v>0</v>
      </c>
      <c r="I35" s="439">
        <f>'1. Description'!G69+0</f>
        <v>0</v>
      </c>
      <c r="J35" s="213">
        <f t="shared" si="7"/>
        <v>0</v>
      </c>
      <c r="Q35" s="441"/>
      <c r="AC35" s="454"/>
      <c r="AD35" s="454"/>
      <c r="AE35" s="454"/>
      <c r="AF35" s="454"/>
      <c r="AG35" s="454"/>
      <c r="AH35" s="454"/>
      <c r="AI35" s="454"/>
      <c r="AJ35" s="103"/>
      <c r="AK35" s="103"/>
      <c r="AL35" s="103"/>
      <c r="AM35" s="103"/>
      <c r="AN35" s="103"/>
      <c r="AO35" s="103"/>
      <c r="AP35" s="103"/>
    </row>
    <row r="36" spans="1:43" s="84" customFormat="1" ht="15">
      <c r="A36" s="161"/>
      <c r="B36" s="52"/>
      <c r="C36" s="437" t="str">
        <f>bedroom_type5</f>
        <v>3 bedrooms</v>
      </c>
      <c r="D36" s="437"/>
      <c r="E36" s="438"/>
      <c r="F36" s="768"/>
      <c r="G36" s="768"/>
      <c r="H36" s="769">
        <f t="shared" si="6"/>
        <v>0</v>
      </c>
      <c r="I36" s="439">
        <f>'1. Description'!G70+0</f>
        <v>0</v>
      </c>
      <c r="J36" s="213">
        <f t="shared" si="7"/>
        <v>0</v>
      </c>
      <c r="Q36" s="441"/>
      <c r="AC36" s="103"/>
      <c r="AD36" s="103"/>
      <c r="AE36" s="103"/>
      <c r="AF36" s="103"/>
      <c r="AG36" s="103"/>
      <c r="AH36" s="103"/>
      <c r="AI36" s="103"/>
      <c r="AJ36" s="103"/>
      <c r="AK36" s="103"/>
      <c r="AL36" s="103"/>
      <c r="AM36" s="103"/>
      <c r="AN36" s="103"/>
      <c r="AO36" s="103"/>
      <c r="AP36" s="103"/>
    </row>
    <row r="37" spans="1:43" s="84" customFormat="1" ht="15">
      <c r="A37" s="161"/>
      <c r="B37" s="52"/>
      <c r="C37" s="437" t="str">
        <f>bedroom_type6</f>
        <v>4 bedrooms</v>
      </c>
      <c r="D37" s="437"/>
      <c r="E37" s="438"/>
      <c r="F37" s="768"/>
      <c r="G37" s="768"/>
      <c r="H37" s="769">
        <f t="shared" si="6"/>
        <v>0</v>
      </c>
      <c r="I37" s="439">
        <f>'1. Description'!G71+0</f>
        <v>0</v>
      </c>
      <c r="J37" s="213">
        <f t="shared" si="7"/>
        <v>0</v>
      </c>
      <c r="Q37" s="441"/>
      <c r="AC37" s="103"/>
      <c r="AD37" s="103"/>
      <c r="AE37" s="103"/>
      <c r="AF37" s="103"/>
      <c r="AG37" s="103"/>
      <c r="AH37" s="103"/>
      <c r="AI37" s="103"/>
      <c r="AJ37" s="103"/>
      <c r="AK37" s="103"/>
      <c r="AL37" s="103"/>
      <c r="AM37" s="103"/>
      <c r="AN37" s="103"/>
      <c r="AO37" s="103"/>
      <c r="AP37" s="103"/>
    </row>
    <row r="38" spans="1:43">
      <c r="A38" s="161"/>
      <c r="B38" s="52"/>
      <c r="C38" s="252"/>
      <c r="D38" s="252"/>
      <c r="E38" s="252"/>
      <c r="F38" s="464"/>
      <c r="G38" s="464"/>
      <c r="H38" s="252"/>
      <c r="I38" s="252"/>
      <c r="J38" s="459"/>
    </row>
    <row r="39" spans="1:43" ht="15.75">
      <c r="A39" s="161">
        <f>A31+1</f>
        <v>226</v>
      </c>
      <c r="B39" s="52" t="s">
        <v>636</v>
      </c>
      <c r="C39" s="138" t="s">
        <v>1415</v>
      </c>
      <c r="D39" s="138"/>
      <c r="E39" s="138"/>
      <c r="F39" s="457"/>
      <c r="G39" s="457"/>
      <c r="H39" s="52"/>
      <c r="I39" s="138"/>
      <c r="J39" s="459"/>
    </row>
    <row r="40" spans="1:43" s="84" customFormat="1" ht="15">
      <c r="A40" s="161"/>
      <c r="B40" s="52"/>
      <c r="C40" s="437" t="str">
        <f>bedroom_type1</f>
        <v>SRO</v>
      </c>
      <c r="D40" s="437"/>
      <c r="E40" s="438"/>
      <c r="F40" s="768"/>
      <c r="G40" s="466"/>
      <c r="H40" s="87"/>
      <c r="I40" s="439">
        <f>'1. Description'!H66+0</f>
        <v>0</v>
      </c>
      <c r="J40" s="213">
        <f t="shared" ref="J40:J45" si="8">F40*I40*12</f>
        <v>0</v>
      </c>
      <c r="Q40" s="441"/>
      <c r="AC40" s="103"/>
      <c r="AD40" s="103"/>
      <c r="AE40" s="103"/>
      <c r="AF40" s="103"/>
      <c r="AG40" s="103"/>
      <c r="AH40" s="103"/>
      <c r="AI40" s="103"/>
      <c r="AJ40" s="103"/>
      <c r="AK40" s="103"/>
      <c r="AL40" s="103"/>
      <c r="AM40" s="103"/>
      <c r="AN40" s="103"/>
      <c r="AO40" s="103"/>
      <c r="AP40" s="103"/>
    </row>
    <row r="41" spans="1:43" s="84" customFormat="1" ht="15">
      <c r="A41" s="161"/>
      <c r="B41" s="52"/>
      <c r="C41" s="437" t="str">
        <f>bedroom_type2</f>
        <v>0 bedroom</v>
      </c>
      <c r="D41" s="437"/>
      <c r="E41" s="438"/>
      <c r="F41" s="768"/>
      <c r="G41" s="466"/>
      <c r="H41" s="87"/>
      <c r="I41" s="439">
        <f>'1. Description'!H67+0</f>
        <v>0</v>
      </c>
      <c r="J41" s="213">
        <f t="shared" si="8"/>
        <v>0</v>
      </c>
      <c r="Q41" s="441"/>
      <c r="AC41" s="103"/>
      <c r="AD41" s="103"/>
      <c r="AE41" s="103"/>
      <c r="AF41" s="103"/>
      <c r="AG41" s="103"/>
      <c r="AH41" s="103"/>
      <c r="AI41" s="103"/>
      <c r="AJ41" s="103"/>
      <c r="AK41" s="103"/>
      <c r="AL41" s="103"/>
      <c r="AM41" s="103"/>
      <c r="AN41" s="103"/>
      <c r="AO41" s="103"/>
      <c r="AP41" s="103"/>
    </row>
    <row r="42" spans="1:43" s="84" customFormat="1" ht="15">
      <c r="A42" s="161"/>
      <c r="B42" s="52"/>
      <c r="C42" s="437" t="str">
        <f>bedroom_type3</f>
        <v>1 bedroom</v>
      </c>
      <c r="D42" s="437"/>
      <c r="E42" s="438"/>
      <c r="F42" s="768"/>
      <c r="G42" s="466"/>
      <c r="H42" s="87"/>
      <c r="I42" s="439">
        <f>'1. Description'!H68+0</f>
        <v>0</v>
      </c>
      <c r="J42" s="213">
        <f t="shared" si="8"/>
        <v>0</v>
      </c>
      <c r="Q42" s="441"/>
      <c r="AC42" s="103"/>
      <c r="AD42" s="103"/>
      <c r="AE42" s="103"/>
      <c r="AF42" s="103"/>
      <c r="AG42" s="103"/>
      <c r="AH42" s="103"/>
      <c r="AI42" s="103"/>
      <c r="AJ42" s="103"/>
      <c r="AK42" s="103"/>
      <c r="AL42" s="103"/>
      <c r="AM42" s="103"/>
      <c r="AN42" s="103"/>
      <c r="AO42" s="103"/>
      <c r="AP42" s="103"/>
    </row>
    <row r="43" spans="1:43" s="84" customFormat="1" ht="15">
      <c r="A43" s="161"/>
      <c r="B43" s="52"/>
      <c r="C43" s="437" t="str">
        <f>bedroom_type4</f>
        <v>2 bedrooms</v>
      </c>
      <c r="D43" s="437"/>
      <c r="E43" s="438"/>
      <c r="F43" s="768"/>
      <c r="G43" s="466"/>
      <c r="H43" s="87"/>
      <c r="I43" s="439">
        <f>'1. Description'!H69+0</f>
        <v>0</v>
      </c>
      <c r="J43" s="213">
        <f t="shared" si="8"/>
        <v>0</v>
      </c>
      <c r="Q43" s="441"/>
      <c r="AC43" s="103"/>
      <c r="AD43" s="103"/>
      <c r="AE43" s="103"/>
      <c r="AF43" s="103"/>
      <c r="AG43" s="103"/>
      <c r="AH43" s="103"/>
      <c r="AI43" s="103"/>
      <c r="AJ43" s="103"/>
      <c r="AK43" s="103"/>
      <c r="AL43" s="103"/>
      <c r="AM43" s="103"/>
      <c r="AN43" s="103"/>
      <c r="AO43" s="103"/>
      <c r="AP43" s="103"/>
    </row>
    <row r="44" spans="1:43" s="84" customFormat="1" ht="15">
      <c r="A44" s="161"/>
      <c r="B44" s="52"/>
      <c r="C44" s="437" t="str">
        <f>bedroom_type5</f>
        <v>3 bedrooms</v>
      </c>
      <c r="D44" s="437"/>
      <c r="E44" s="438"/>
      <c r="F44" s="768"/>
      <c r="G44" s="466"/>
      <c r="H44" s="87"/>
      <c r="I44" s="439">
        <f>'1. Description'!H70+0</f>
        <v>0</v>
      </c>
      <c r="J44" s="213">
        <f t="shared" si="8"/>
        <v>0</v>
      </c>
      <c r="Q44" s="441"/>
      <c r="AC44" s="103"/>
      <c r="AD44" s="103"/>
      <c r="AE44" s="103"/>
      <c r="AF44" s="103"/>
      <c r="AG44" s="103"/>
      <c r="AH44" s="103"/>
      <c r="AI44" s="103"/>
      <c r="AJ44" s="103"/>
      <c r="AK44" s="103"/>
      <c r="AL44" s="103"/>
      <c r="AM44" s="103"/>
      <c r="AN44" s="103"/>
      <c r="AO44" s="103"/>
      <c r="AP44" s="103"/>
    </row>
    <row r="45" spans="1:43" s="84" customFormat="1" ht="15">
      <c r="A45" s="161"/>
      <c r="B45" s="52"/>
      <c r="C45" s="437" t="str">
        <f>bedroom_type6</f>
        <v>4 bedrooms</v>
      </c>
      <c r="D45" s="437"/>
      <c r="E45" s="438"/>
      <c r="F45" s="768"/>
      <c r="G45" s="466"/>
      <c r="H45" s="87"/>
      <c r="I45" s="439">
        <f>'1. Description'!H71+0</f>
        <v>0</v>
      </c>
      <c r="J45" s="213">
        <f t="shared" si="8"/>
        <v>0</v>
      </c>
      <c r="Q45" s="441"/>
      <c r="AC45" s="103"/>
      <c r="AD45" s="103"/>
      <c r="AE45" s="103"/>
      <c r="AF45" s="103"/>
      <c r="AG45" s="103"/>
      <c r="AH45" s="103"/>
      <c r="AI45" s="103"/>
      <c r="AJ45" s="103"/>
      <c r="AK45" s="103"/>
      <c r="AL45" s="103"/>
      <c r="AM45" s="103"/>
      <c r="AN45" s="103"/>
      <c r="AO45" s="103"/>
      <c r="AP45" s="103"/>
    </row>
    <row r="46" spans="1:43">
      <c r="A46" s="161"/>
      <c r="B46" s="52"/>
      <c r="C46" s="252"/>
      <c r="D46" s="252"/>
      <c r="E46" s="252"/>
      <c r="F46" s="252"/>
      <c r="G46" s="252"/>
      <c r="H46" s="252"/>
      <c r="I46" s="252"/>
      <c r="J46" s="459"/>
    </row>
    <row r="47" spans="1:43" ht="15.75">
      <c r="A47" s="161"/>
      <c r="B47" s="52"/>
      <c r="C47" s="144" t="s">
        <v>1416</v>
      </c>
      <c r="D47" s="138"/>
      <c r="E47" s="138"/>
      <c r="F47" s="467" t="s">
        <v>1417</v>
      </c>
      <c r="G47" s="138"/>
      <c r="H47" s="52"/>
      <c r="I47" s="138"/>
      <c r="J47" s="468"/>
    </row>
    <row r="48" spans="1:43" ht="15.75">
      <c r="A48" s="161">
        <f>A39+1</f>
        <v>227</v>
      </c>
      <c r="B48" s="52" t="s">
        <v>636</v>
      </c>
      <c r="C48" s="138" t="s">
        <v>1418</v>
      </c>
      <c r="D48" s="722">
        <f>'1. Description'!F145+0</f>
        <v>0</v>
      </c>
      <c r="E48" s="164" t="s">
        <v>1419</v>
      </c>
      <c r="F48" s="723"/>
      <c r="G48" s="191" t="s">
        <v>1420</v>
      </c>
      <c r="H48" s="469">
        <f>D48*F48</f>
        <v>0</v>
      </c>
      <c r="I48" s="138"/>
      <c r="J48" s="156"/>
    </row>
    <row r="49" spans="1:42">
      <c r="A49" s="161"/>
      <c r="B49" s="52"/>
      <c r="C49" s="252"/>
      <c r="D49" s="252"/>
      <c r="E49" s="470"/>
      <c r="F49" s="252"/>
      <c r="G49" s="252"/>
      <c r="H49" s="252"/>
      <c r="I49" s="252"/>
      <c r="J49" s="253"/>
    </row>
    <row r="50" spans="1:42" ht="15.75">
      <c r="A50" s="161"/>
      <c r="B50" s="52"/>
      <c r="C50" s="144" t="s">
        <v>1421</v>
      </c>
      <c r="D50" s="138"/>
      <c r="E50" s="164"/>
      <c r="F50" s="467" t="s">
        <v>1417</v>
      </c>
      <c r="G50" s="138"/>
      <c r="H50" s="138"/>
      <c r="I50" s="138"/>
      <c r="J50" s="156"/>
    </row>
    <row r="51" spans="1:42" ht="15.75">
      <c r="A51" s="161">
        <f>A48+1</f>
        <v>228</v>
      </c>
      <c r="B51" s="52" t="s">
        <v>636</v>
      </c>
      <c r="C51" s="138" t="s">
        <v>1422</v>
      </c>
      <c r="D51" s="722">
        <f>'1. Description'!E180</f>
        <v>0</v>
      </c>
      <c r="E51" s="164" t="s">
        <v>1419</v>
      </c>
      <c r="F51" s="723"/>
      <c r="G51" s="191" t="s">
        <v>1423</v>
      </c>
      <c r="H51" s="469">
        <f>D51*F51*12</f>
        <v>0</v>
      </c>
      <c r="I51" s="138"/>
      <c r="J51" s="156"/>
    </row>
    <row r="52" spans="1:42" ht="13.5" thickBot="1">
      <c r="A52" s="168"/>
      <c r="B52" s="132"/>
      <c r="C52" s="258"/>
      <c r="D52" s="258"/>
      <c r="E52" s="258"/>
      <c r="F52" s="258"/>
      <c r="G52" s="258"/>
      <c r="H52" s="258"/>
      <c r="I52" s="258"/>
      <c r="J52" s="259"/>
    </row>
    <row r="53" spans="1:42" s="65" customFormat="1">
      <c r="A53" s="52"/>
      <c r="B53" s="471">
        <f>PROJNAME</f>
        <v>0</v>
      </c>
      <c r="C53" s="67"/>
      <c r="D53" s="64"/>
      <c r="E53" s="64"/>
      <c r="F53" s="64"/>
      <c r="G53" s="64"/>
      <c r="H53" s="137" t="e">
        <f>'1. Description'!$G$59</f>
        <v>#VALUE!</v>
      </c>
      <c r="I53" s="1280" t="e">
        <f>'1. Description'!$H$59</f>
        <v>#VALUE!</v>
      </c>
      <c r="J53" s="1280"/>
      <c r="Q53" s="472"/>
      <c r="AD53" s="103"/>
      <c r="AE53" s="103"/>
      <c r="AF53" s="103"/>
      <c r="AG53" s="103"/>
      <c r="AH53" s="103"/>
      <c r="AI53" s="103"/>
      <c r="AJ53" s="103"/>
      <c r="AK53" s="103"/>
      <c r="AL53" s="103"/>
      <c r="AM53" s="103"/>
      <c r="AN53" s="103"/>
      <c r="AO53" s="103"/>
      <c r="AP53" s="103"/>
    </row>
    <row r="54" spans="1:42" s="65" customFormat="1" ht="13.5" thickBot="1">
      <c r="A54" s="115" t="s">
        <v>1424</v>
      </c>
      <c r="B54" s="52"/>
      <c r="C54" s="67"/>
      <c r="D54" s="64"/>
      <c r="E54" s="64"/>
      <c r="F54" s="64"/>
      <c r="G54" s="64"/>
      <c r="H54" s="64"/>
      <c r="I54" s="67" t="s">
        <v>1425</v>
      </c>
      <c r="J54" s="64"/>
      <c r="Q54" s="472"/>
      <c r="AD54" s="103"/>
      <c r="AE54" s="103"/>
      <c r="AF54" s="103"/>
      <c r="AG54" s="103"/>
      <c r="AH54" s="103"/>
      <c r="AI54" s="103"/>
      <c r="AJ54" s="103"/>
      <c r="AK54" s="103"/>
      <c r="AL54" s="103"/>
      <c r="AM54" s="103"/>
      <c r="AN54" s="103"/>
      <c r="AO54" s="103"/>
      <c r="AP54" s="103"/>
    </row>
    <row r="55" spans="1:42" ht="18.75">
      <c r="A55" s="246"/>
      <c r="B55" s="141"/>
      <c r="C55" s="473" t="s">
        <v>1426</v>
      </c>
      <c r="D55" s="247"/>
      <c r="E55" s="247"/>
      <c r="F55" s="247"/>
      <c r="G55" s="247"/>
      <c r="H55" s="247"/>
      <c r="I55" s="247"/>
      <c r="J55" s="248"/>
    </row>
    <row r="56" spans="1:42" s="85" customFormat="1" ht="11.25">
      <c r="A56" s="1118"/>
      <c r="G56" s="80"/>
      <c r="H56" s="80"/>
      <c r="I56" s="80"/>
      <c r="J56" s="83"/>
      <c r="Q56" s="416"/>
      <c r="AD56" s="103"/>
      <c r="AE56" s="103"/>
      <c r="AF56" s="103"/>
      <c r="AG56" s="103"/>
      <c r="AH56" s="103"/>
      <c r="AI56" s="103"/>
      <c r="AJ56" s="103"/>
      <c r="AK56" s="103"/>
      <c r="AL56" s="103"/>
      <c r="AM56" s="103"/>
      <c r="AN56" s="103"/>
      <c r="AO56" s="103"/>
      <c r="AP56" s="103"/>
    </row>
    <row r="57" spans="1:42" ht="16.5" thickBot="1">
      <c r="A57" s="1119">
        <f>A51+1</f>
        <v>229</v>
      </c>
      <c r="B57" s="52" t="s">
        <v>636</v>
      </c>
      <c r="C57" s="138" t="s">
        <v>1435</v>
      </c>
      <c r="D57" s="138"/>
      <c r="E57" s="138"/>
      <c r="F57" s="45"/>
      <c r="G57" s="747"/>
      <c r="H57" s="864" t="s">
        <v>224</v>
      </c>
      <c r="I57" s="138"/>
      <c r="J57" s="156"/>
    </row>
    <row r="58" spans="1:42" ht="16.5" thickTop="1">
      <c r="A58" s="1120"/>
      <c r="B58" s="80"/>
      <c r="C58" s="80"/>
      <c r="D58" s="80"/>
      <c r="E58" s="80"/>
      <c r="F58" s="80"/>
      <c r="H58" s="1038"/>
      <c r="I58" s="1039"/>
      <c r="J58" s="156"/>
    </row>
    <row r="59" spans="1:42" ht="15.75">
      <c r="A59" s="1119">
        <f>A57+1</f>
        <v>230</v>
      </c>
      <c r="B59" s="52" t="s">
        <v>636</v>
      </c>
      <c r="C59" s="474" t="s">
        <v>268</v>
      </c>
      <c r="D59" s="741"/>
      <c r="E59" s="250"/>
      <c r="F59" s="740"/>
      <c r="H59" s="1040"/>
      <c r="I59" s="1041"/>
      <c r="J59" s="156"/>
    </row>
    <row r="60" spans="1:42" ht="15.75">
      <c r="A60" s="1119"/>
      <c r="B60" s="52"/>
      <c r="C60" s="475" t="s">
        <v>135</v>
      </c>
      <c r="D60" s="741"/>
      <c r="E60" s="250"/>
      <c r="F60" s="740"/>
      <c r="H60" s="1040"/>
      <c r="I60" s="1041"/>
      <c r="J60" s="156"/>
    </row>
    <row r="61" spans="1:42" ht="15.75">
      <c r="A61" s="1119"/>
      <c r="B61" s="52"/>
      <c r="C61" s="475" t="s">
        <v>136</v>
      </c>
      <c r="D61" s="741"/>
      <c r="E61" s="250"/>
      <c r="F61" s="740"/>
      <c r="H61" s="1040"/>
      <c r="I61" s="1041"/>
      <c r="J61" s="156"/>
    </row>
    <row r="62" spans="1:42" ht="15.75">
      <c r="A62" s="1119"/>
      <c r="B62" s="52"/>
      <c r="C62" s="475" t="s">
        <v>137</v>
      </c>
      <c r="D62" s="741"/>
      <c r="E62" s="250"/>
      <c r="F62" s="740"/>
      <c r="H62" s="1040"/>
      <c r="I62" s="1041"/>
      <c r="J62" s="156"/>
    </row>
    <row r="63" spans="1:42" ht="15.75">
      <c r="A63" s="1119"/>
      <c r="B63" s="52"/>
      <c r="C63" s="475" t="s">
        <v>138</v>
      </c>
      <c r="D63" s="741"/>
      <c r="E63" s="250"/>
      <c r="F63" s="740"/>
      <c r="H63" s="1040"/>
      <c r="I63" s="1041"/>
      <c r="J63" s="156"/>
    </row>
    <row r="64" spans="1:42" s="85" customFormat="1" ht="15.75">
      <c r="A64" s="1119"/>
      <c r="B64" s="52"/>
      <c r="C64" s="475" t="s">
        <v>139</v>
      </c>
      <c r="D64" s="741"/>
      <c r="E64" s="250"/>
      <c r="F64" s="740"/>
      <c r="H64" s="1040"/>
      <c r="I64" s="1041"/>
      <c r="J64" s="83"/>
      <c r="Q64" s="416"/>
      <c r="AD64" s="103"/>
      <c r="AE64" s="103"/>
      <c r="AF64" s="103"/>
      <c r="AG64" s="103"/>
      <c r="AN64" s="103"/>
      <c r="AO64" s="103"/>
      <c r="AP64" s="103"/>
    </row>
    <row r="65" spans="1:42" ht="15.75">
      <c r="A65" s="1121"/>
      <c r="H65" s="1040"/>
      <c r="I65" s="1041"/>
      <c r="J65" s="156"/>
    </row>
    <row r="66" spans="1:42" s="85" customFormat="1" ht="15.75">
      <c r="A66" s="1121"/>
      <c r="B66" s="101"/>
      <c r="C66" s="144" t="s">
        <v>1430</v>
      </c>
      <c r="D66" s="103"/>
      <c r="E66" s="103"/>
      <c r="F66" s="103"/>
      <c r="H66" s="1040"/>
      <c r="I66" s="1041"/>
      <c r="J66" s="156"/>
      <c r="Q66" s="416"/>
      <c r="AD66" s="103"/>
      <c r="AE66" s="103"/>
      <c r="AF66" s="103"/>
      <c r="AG66" s="103"/>
      <c r="AN66" s="103"/>
      <c r="AO66" s="103"/>
      <c r="AP66" s="103"/>
    </row>
    <row r="67" spans="1:42" ht="15.75">
      <c r="A67" s="1119">
        <f>A59+1</f>
        <v>231</v>
      </c>
      <c r="B67" s="52" t="s">
        <v>636</v>
      </c>
      <c r="C67" s="138" t="s">
        <v>1431</v>
      </c>
      <c r="D67" s="250"/>
      <c r="E67" s="138"/>
      <c r="F67" s="49"/>
      <c r="H67" s="1040"/>
      <c r="I67" s="1041"/>
      <c r="J67" s="156"/>
    </row>
    <row r="68" spans="1:42" ht="15.75">
      <c r="A68" s="1119">
        <f>A67+1</f>
        <v>232</v>
      </c>
      <c r="B68" s="52" t="s">
        <v>636</v>
      </c>
      <c r="C68" s="138" t="s">
        <v>1432</v>
      </c>
      <c r="D68" s="250"/>
      <c r="E68" s="138"/>
      <c r="F68" s="49"/>
      <c r="H68" s="1040"/>
      <c r="I68" s="1041"/>
      <c r="J68" s="156"/>
    </row>
    <row r="69" spans="1:42" ht="15.75">
      <c r="A69" s="1119">
        <f>A68+1</f>
        <v>233</v>
      </c>
      <c r="B69" s="52" t="s">
        <v>636</v>
      </c>
      <c r="C69" s="138" t="s">
        <v>1433</v>
      </c>
      <c r="D69" s="250"/>
      <c r="E69" s="138"/>
      <c r="F69" s="49"/>
      <c r="H69" s="1040"/>
      <c r="I69" s="1041"/>
      <c r="J69" s="156"/>
    </row>
    <row r="70" spans="1:42" ht="15.75">
      <c r="A70" s="1119">
        <f>A69+1</f>
        <v>234</v>
      </c>
      <c r="B70" s="52" t="s">
        <v>636</v>
      </c>
      <c r="C70" s="138" t="str">
        <f>"Other Income " &amp; '1. Description'!$G$65</f>
        <v>Other Income (User-defined)</v>
      </c>
      <c r="D70" s="486"/>
      <c r="E70" s="138"/>
      <c r="F70" s="49"/>
      <c r="H70" s="1040"/>
      <c r="I70" s="1041"/>
      <c r="J70" s="156"/>
    </row>
    <row r="71" spans="1:42" ht="15.75">
      <c r="A71" s="1119">
        <f>A70+1</f>
        <v>235</v>
      </c>
      <c r="B71" s="52" t="s">
        <v>636</v>
      </c>
      <c r="C71" s="138" t="s">
        <v>1434</v>
      </c>
      <c r="D71" s="250"/>
      <c r="E71" s="138"/>
      <c r="F71" s="49"/>
      <c r="H71" s="1040"/>
      <c r="I71" s="1041"/>
      <c r="J71" s="156"/>
    </row>
    <row r="72" spans="1:42" ht="16.5" thickBot="1">
      <c r="A72" s="161">
        <f>A71+1</f>
        <v>236</v>
      </c>
      <c r="B72" s="52" t="s">
        <v>636</v>
      </c>
      <c r="C72" s="138" t="s">
        <v>520</v>
      </c>
      <c r="D72" s="250"/>
      <c r="E72" s="138"/>
      <c r="F72" s="49"/>
      <c r="H72" s="1042"/>
      <c r="I72" s="1043"/>
      <c r="J72" s="156"/>
    </row>
    <row r="73" spans="1:42" s="85" customFormat="1" ht="16.5" thickTop="1">
      <c r="A73" s="79"/>
      <c r="B73" s="80"/>
      <c r="C73" s="80"/>
      <c r="D73" s="80"/>
      <c r="E73" s="250"/>
      <c r="F73" s="80"/>
      <c r="G73" s="80"/>
      <c r="H73" s="138"/>
      <c r="I73" s="192"/>
      <c r="J73" s="156"/>
      <c r="Q73" s="416"/>
      <c r="AD73" s="103"/>
      <c r="AE73" s="103"/>
      <c r="AF73" s="103"/>
      <c r="AG73" s="103"/>
      <c r="AH73" s="103"/>
      <c r="AI73" s="103"/>
      <c r="AJ73" s="103"/>
      <c r="AK73" s="103"/>
      <c r="AL73" s="103"/>
      <c r="AM73" s="103"/>
      <c r="AN73" s="103"/>
      <c r="AO73" s="103"/>
      <c r="AP73" s="103"/>
    </row>
    <row r="74" spans="1:42" ht="15.75">
      <c r="A74" s="161"/>
      <c r="B74" s="52"/>
      <c r="C74" s="144" t="s">
        <v>1436</v>
      </c>
      <c r="D74" s="138"/>
      <c r="E74" s="138"/>
      <c r="F74" s="176" t="s">
        <v>1437</v>
      </c>
      <c r="G74" s="176" t="s">
        <v>1438</v>
      </c>
      <c r="H74" s="176" t="s">
        <v>1439</v>
      </c>
      <c r="I74" s="176" t="s">
        <v>1440</v>
      </c>
      <c r="J74" s="156"/>
    </row>
    <row r="75" spans="1:42" ht="15.75">
      <c r="A75" s="161">
        <f>A72+1</f>
        <v>237</v>
      </c>
      <c r="B75" s="52" t="s">
        <v>636</v>
      </c>
      <c r="C75" s="138" t="s">
        <v>1431</v>
      </c>
      <c r="D75" s="138"/>
      <c r="E75" s="138"/>
      <c r="F75" s="49" t="s">
        <v>1200</v>
      </c>
      <c r="G75" s="49" t="s">
        <v>1200</v>
      </c>
      <c r="H75" s="49" t="s">
        <v>1200</v>
      </c>
      <c r="I75" s="49" t="s">
        <v>1200</v>
      </c>
      <c r="J75" s="468"/>
      <c r="L75" s="476"/>
    </row>
    <row r="76" spans="1:42" ht="15.75">
      <c r="A76" s="161">
        <f t="shared" ref="A76:A81" si="9">A75+1</f>
        <v>238</v>
      </c>
      <c r="B76" s="52" t="s">
        <v>636</v>
      </c>
      <c r="C76" s="138" t="s">
        <v>1432</v>
      </c>
      <c r="D76" s="138"/>
      <c r="E76" s="138"/>
      <c r="F76" s="49" t="s">
        <v>1200</v>
      </c>
      <c r="G76" s="49" t="s">
        <v>1200</v>
      </c>
      <c r="H76" s="49" t="s">
        <v>1200</v>
      </c>
      <c r="I76" s="49" t="s">
        <v>1200</v>
      </c>
      <c r="J76" s="468"/>
    </row>
    <row r="77" spans="1:42" ht="15.75">
      <c r="A77" s="161">
        <f t="shared" si="9"/>
        <v>239</v>
      </c>
      <c r="B77" s="52" t="s">
        <v>636</v>
      </c>
      <c r="C77" s="138" t="s">
        <v>1433</v>
      </c>
      <c r="D77" s="138"/>
      <c r="E77" s="138"/>
      <c r="F77" s="49" t="s">
        <v>1200</v>
      </c>
      <c r="G77" s="49" t="s">
        <v>1200</v>
      </c>
      <c r="H77" s="49" t="s">
        <v>1200</v>
      </c>
      <c r="I77" s="49" t="s">
        <v>1200</v>
      </c>
      <c r="J77" s="468"/>
    </row>
    <row r="78" spans="1:42" ht="15.75">
      <c r="A78" s="161">
        <f t="shared" si="9"/>
        <v>240</v>
      </c>
      <c r="B78" s="52" t="s">
        <v>636</v>
      </c>
      <c r="C78" s="138" t="str">
        <f>"Other Income " &amp;'1. Description'!$G$65</f>
        <v>Other Income (User-defined)</v>
      </c>
      <c r="D78" s="241"/>
      <c r="E78" s="138"/>
      <c r="F78" s="49" t="s">
        <v>1200</v>
      </c>
      <c r="G78" s="49" t="s">
        <v>1200</v>
      </c>
      <c r="H78" s="49" t="s">
        <v>1200</v>
      </c>
      <c r="I78" s="49" t="s">
        <v>1200</v>
      </c>
      <c r="J78" s="468"/>
    </row>
    <row r="79" spans="1:42" ht="15.75">
      <c r="A79" s="161">
        <f t="shared" si="9"/>
        <v>241</v>
      </c>
      <c r="B79" s="52" t="s">
        <v>636</v>
      </c>
      <c r="C79" s="138" t="s">
        <v>1434</v>
      </c>
      <c r="D79" s="138"/>
      <c r="E79" s="138"/>
      <c r="F79" s="49" t="s">
        <v>1200</v>
      </c>
      <c r="G79" s="49" t="s">
        <v>1200</v>
      </c>
      <c r="H79" s="49" t="s">
        <v>1200</v>
      </c>
      <c r="I79" s="49" t="s">
        <v>1200</v>
      </c>
      <c r="J79" s="468"/>
    </row>
    <row r="80" spans="1:42" ht="15.75">
      <c r="A80" s="161">
        <f t="shared" si="9"/>
        <v>242</v>
      </c>
      <c r="B80" s="52" t="s">
        <v>636</v>
      </c>
      <c r="C80" s="138" t="s">
        <v>1441</v>
      </c>
      <c r="D80" s="138"/>
      <c r="E80" s="138"/>
      <c r="F80" s="49" t="s">
        <v>1200</v>
      </c>
      <c r="G80" s="49" t="s">
        <v>1200</v>
      </c>
      <c r="H80" s="49" t="s">
        <v>1200</v>
      </c>
      <c r="I80" s="49" t="s">
        <v>1200</v>
      </c>
      <c r="J80" s="468"/>
    </row>
    <row r="81" spans="1:12" ht="15.75">
      <c r="A81" s="161">
        <f t="shared" si="9"/>
        <v>243</v>
      </c>
      <c r="B81" s="52" t="s">
        <v>636</v>
      </c>
      <c r="C81" s="138" t="s">
        <v>398</v>
      </c>
      <c r="D81" s="138"/>
      <c r="E81" s="138"/>
      <c r="F81" s="49" t="s">
        <v>1200</v>
      </c>
      <c r="G81" s="49" t="s">
        <v>1200</v>
      </c>
      <c r="H81" s="49" t="s">
        <v>1200</v>
      </c>
      <c r="I81" s="49" t="s">
        <v>1200</v>
      </c>
      <c r="J81" s="156"/>
      <c r="K81"/>
      <c r="L81"/>
    </row>
    <row r="82" spans="1:12" ht="15.75">
      <c r="A82" s="161">
        <f>A81+1</f>
        <v>244</v>
      </c>
      <c r="B82" s="930" t="s">
        <v>402</v>
      </c>
      <c r="C82" s="138" t="s">
        <v>655</v>
      </c>
      <c r="D82" s="742">
        <f t="shared" ref="D82:D87" si="10">D59</f>
        <v>0</v>
      </c>
      <c r="E82" s="138"/>
      <c r="F82" s="49" t="s">
        <v>1200</v>
      </c>
      <c r="G82" s="49" t="s">
        <v>1200</v>
      </c>
      <c r="H82" s="49" t="s">
        <v>1200</v>
      </c>
      <c r="I82" s="49" t="s">
        <v>1200</v>
      </c>
      <c r="J82" s="156"/>
    </row>
    <row r="83" spans="1:12" ht="15.75">
      <c r="A83" s="161"/>
      <c r="B83" s="930" t="s">
        <v>135</v>
      </c>
      <c r="C83" s="523" t="s">
        <v>655</v>
      </c>
      <c r="D83" s="742">
        <f t="shared" si="10"/>
        <v>0</v>
      </c>
      <c r="E83" s="138"/>
      <c r="F83" s="49" t="s">
        <v>1200</v>
      </c>
      <c r="G83" s="49" t="s">
        <v>1200</v>
      </c>
      <c r="H83" s="49" t="s">
        <v>1200</v>
      </c>
      <c r="I83" s="49" t="s">
        <v>1200</v>
      </c>
      <c r="J83" s="156"/>
    </row>
    <row r="84" spans="1:12" ht="15.75">
      <c r="A84" s="161"/>
      <c r="B84" s="930" t="s">
        <v>136</v>
      </c>
      <c r="C84" s="138" t="s">
        <v>655</v>
      </c>
      <c r="D84" s="742">
        <f t="shared" si="10"/>
        <v>0</v>
      </c>
      <c r="E84" s="138"/>
      <c r="F84" s="49" t="s">
        <v>1200</v>
      </c>
      <c r="G84" s="49" t="s">
        <v>1200</v>
      </c>
      <c r="H84" s="49" t="s">
        <v>1200</v>
      </c>
      <c r="I84" s="49" t="s">
        <v>1200</v>
      </c>
      <c r="J84" s="156"/>
    </row>
    <row r="85" spans="1:12" ht="15.75">
      <c r="A85" s="161"/>
      <c r="B85" s="930" t="s">
        <v>137</v>
      </c>
      <c r="C85" s="523" t="s">
        <v>655</v>
      </c>
      <c r="D85" s="742">
        <f t="shared" si="10"/>
        <v>0</v>
      </c>
      <c r="E85" s="138"/>
      <c r="F85" s="49" t="s">
        <v>1200</v>
      </c>
      <c r="G85" s="49" t="s">
        <v>1200</v>
      </c>
      <c r="H85" s="49" t="s">
        <v>1200</v>
      </c>
      <c r="I85" s="49" t="s">
        <v>1200</v>
      </c>
      <c r="J85" s="156"/>
    </row>
    <row r="86" spans="1:12" ht="15.75">
      <c r="A86" s="161"/>
      <c r="B86" s="930" t="s">
        <v>138</v>
      </c>
      <c r="C86" s="138" t="s">
        <v>655</v>
      </c>
      <c r="D86" s="742">
        <f t="shared" si="10"/>
        <v>0</v>
      </c>
      <c r="E86" s="138"/>
      <c r="F86" s="49" t="s">
        <v>1200</v>
      </c>
      <c r="G86" s="49" t="s">
        <v>1200</v>
      </c>
      <c r="H86" s="49" t="s">
        <v>1200</v>
      </c>
      <c r="I86" s="49" t="s">
        <v>1200</v>
      </c>
      <c r="J86" s="156"/>
    </row>
    <row r="87" spans="1:12" ht="15.75">
      <c r="A87" s="161"/>
      <c r="B87" s="930" t="s">
        <v>403</v>
      </c>
      <c r="C87" s="523" t="s">
        <v>655</v>
      </c>
      <c r="D87" s="742">
        <f t="shared" si="10"/>
        <v>0</v>
      </c>
      <c r="E87" s="138"/>
      <c r="F87" s="49" t="s">
        <v>1200</v>
      </c>
      <c r="G87" s="49" t="s">
        <v>1200</v>
      </c>
      <c r="H87" s="49" t="s">
        <v>1200</v>
      </c>
      <c r="I87" s="49" t="s">
        <v>1200</v>
      </c>
      <c r="J87" s="156"/>
    </row>
    <row r="88" spans="1:12">
      <c r="A88" s="161"/>
      <c r="B88" s="52"/>
      <c r="C88" s="252"/>
      <c r="D88" s="252"/>
      <c r="E88" s="252"/>
      <c r="F88" s="252"/>
      <c r="G88" s="252"/>
      <c r="H88" s="252"/>
      <c r="I88" s="252"/>
      <c r="J88" s="253"/>
    </row>
    <row r="89" spans="1:12" ht="15.75">
      <c r="A89" s="161"/>
      <c r="B89" s="52"/>
      <c r="C89" s="144" t="s">
        <v>1442</v>
      </c>
      <c r="D89" s="138"/>
      <c r="E89" s="252"/>
      <c r="F89" s="252"/>
      <c r="G89" s="252"/>
      <c r="H89" s="252"/>
      <c r="I89" s="138"/>
      <c r="J89" s="156"/>
    </row>
    <row r="90" spans="1:12" ht="15.75">
      <c r="A90" s="161">
        <f>A82+1</f>
        <v>245</v>
      </c>
      <c r="B90" s="52" t="s">
        <v>636</v>
      </c>
      <c r="C90" s="138" t="s">
        <v>1443</v>
      </c>
      <c r="D90" s="52"/>
      <c r="E90" s="1341" t="s">
        <v>646</v>
      </c>
      <c r="F90" s="1342"/>
      <c r="G90" s="1342"/>
      <c r="H90" s="1342"/>
      <c r="I90" s="1343"/>
      <c r="J90" s="156"/>
    </row>
    <row r="91" spans="1:12" ht="15.75">
      <c r="A91" s="161">
        <f>A90+1</f>
        <v>246</v>
      </c>
      <c r="B91" s="52" t="s">
        <v>636</v>
      </c>
      <c r="C91" s="138" t="s">
        <v>1444</v>
      </c>
      <c r="D91" s="138"/>
      <c r="E91" s="1341" t="s">
        <v>646</v>
      </c>
      <c r="F91" s="1342"/>
      <c r="G91" s="1342"/>
      <c r="H91" s="1342"/>
      <c r="I91" s="1343"/>
      <c r="J91" s="156"/>
    </row>
    <row r="92" spans="1:12" ht="15.75">
      <c r="A92" s="161">
        <f>A91+1</f>
        <v>247</v>
      </c>
      <c r="B92" s="52" t="s">
        <v>636</v>
      </c>
      <c r="C92" s="138" t="s">
        <v>134</v>
      </c>
      <c r="D92" s="138"/>
      <c r="E92" s="138"/>
      <c r="F92" s="21" t="s">
        <v>791</v>
      </c>
      <c r="G92" s="196" t="s">
        <v>1445</v>
      </c>
      <c r="H92" s="1250"/>
      <c r="I92" s="1252"/>
      <c r="J92" s="253"/>
    </row>
    <row r="93" spans="1:12">
      <c r="A93" s="161"/>
      <c r="B93" s="52"/>
      <c r="C93" s="252"/>
      <c r="D93" s="252"/>
      <c r="E93" s="252"/>
      <c r="F93" s="252"/>
      <c r="G93" s="252"/>
      <c r="H93" s="252"/>
      <c r="I93" s="252"/>
      <c r="J93" s="253"/>
    </row>
    <row r="94" spans="1:12" ht="15.75">
      <c r="A94" s="161">
        <f>A92+1</f>
        <v>248</v>
      </c>
      <c r="B94" s="52" t="s">
        <v>636</v>
      </c>
      <c r="C94" s="138" t="s">
        <v>1446</v>
      </c>
      <c r="D94" s="52"/>
      <c r="E94" s="139"/>
      <c r="F94" s="139"/>
      <c r="G94" s="52"/>
      <c r="H94" s="139"/>
      <c r="I94" s="139"/>
      <c r="J94" s="106"/>
    </row>
    <row r="95" spans="1:12">
      <c r="A95" s="161"/>
      <c r="B95" s="52"/>
      <c r="C95" s="252"/>
      <c r="D95" s="252"/>
      <c r="E95" s="176" t="s">
        <v>1447</v>
      </c>
      <c r="F95" s="176" t="s">
        <v>1447</v>
      </c>
      <c r="G95" s="52"/>
      <c r="H95" s="176" t="s">
        <v>1448</v>
      </c>
      <c r="I95" s="139"/>
      <c r="J95" s="106"/>
    </row>
    <row r="96" spans="1:12">
      <c r="A96" s="161"/>
      <c r="B96" s="52"/>
      <c r="C96" s="252"/>
      <c r="D96" s="252"/>
      <c r="E96" s="176" t="s">
        <v>1449</v>
      </c>
      <c r="F96" s="176" t="s">
        <v>1450</v>
      </c>
      <c r="G96" s="52"/>
      <c r="H96" s="176" t="s">
        <v>1451</v>
      </c>
      <c r="I96" s="139"/>
      <c r="J96" s="106"/>
    </row>
    <row r="97" spans="1:10">
      <c r="A97" s="161"/>
      <c r="B97" s="52"/>
      <c r="C97" s="477" t="s">
        <v>1452</v>
      </c>
      <c r="D97" s="478"/>
      <c r="E97" s="21" t="s">
        <v>791</v>
      </c>
      <c r="F97" s="21" t="s">
        <v>791</v>
      </c>
      <c r="G97" s="252"/>
      <c r="H97" s="21" t="s">
        <v>791</v>
      </c>
      <c r="I97" s="252"/>
      <c r="J97" s="106"/>
    </row>
    <row r="98" spans="1:10">
      <c r="A98" s="161"/>
      <c r="B98" s="52"/>
      <c r="C98" s="477" t="s">
        <v>1437</v>
      </c>
      <c r="D98" s="478"/>
      <c r="E98" s="21" t="s">
        <v>791</v>
      </c>
      <c r="F98" s="21" t="s">
        <v>791</v>
      </c>
      <c r="G98" s="252"/>
      <c r="H98" s="21" t="s">
        <v>791</v>
      </c>
      <c r="I98" s="252"/>
      <c r="J98" s="106"/>
    </row>
    <row r="99" spans="1:10">
      <c r="A99" s="161"/>
      <c r="B99" s="52"/>
      <c r="C99" s="477" t="s">
        <v>1438</v>
      </c>
      <c r="D99" s="478"/>
      <c r="E99" s="21" t="s">
        <v>791</v>
      </c>
      <c r="F99" s="21" t="s">
        <v>791</v>
      </c>
      <c r="G99" s="252"/>
      <c r="H99" s="21" t="s">
        <v>791</v>
      </c>
      <c r="I99" s="252"/>
      <c r="J99" s="106"/>
    </row>
    <row r="100" spans="1:10">
      <c r="A100" s="161"/>
      <c r="B100" s="52"/>
      <c r="C100" s="477" t="s">
        <v>1453</v>
      </c>
      <c r="D100" s="478"/>
      <c r="E100" s="21" t="s">
        <v>791</v>
      </c>
      <c r="F100" s="21" t="s">
        <v>791</v>
      </c>
      <c r="G100" s="252"/>
      <c r="H100" s="21" t="s">
        <v>791</v>
      </c>
      <c r="I100" s="252"/>
      <c r="J100" s="106"/>
    </row>
    <row r="101" spans="1:10">
      <c r="A101" s="161"/>
      <c r="B101" s="52"/>
      <c r="C101" s="477" t="s">
        <v>25</v>
      </c>
      <c r="D101" s="478"/>
      <c r="E101" s="21" t="s">
        <v>791</v>
      </c>
      <c r="F101" s="21" t="s">
        <v>791</v>
      </c>
      <c r="G101" s="252"/>
      <c r="H101" s="21" t="s">
        <v>791</v>
      </c>
      <c r="I101" s="252"/>
      <c r="J101" s="106"/>
    </row>
    <row r="102" spans="1:10">
      <c r="A102" s="161"/>
      <c r="B102" s="52"/>
      <c r="C102" s="477" t="s">
        <v>26</v>
      </c>
      <c r="D102" s="478"/>
      <c r="E102" s="21" t="s">
        <v>791</v>
      </c>
      <c r="F102" s="21" t="s">
        <v>791</v>
      </c>
      <c r="G102" s="252"/>
      <c r="H102" s="21" t="s">
        <v>791</v>
      </c>
      <c r="I102" s="252"/>
      <c r="J102" s="106"/>
    </row>
    <row r="103" spans="1:10">
      <c r="A103" s="161"/>
      <c r="B103" s="52"/>
      <c r="C103" s="477" t="s">
        <v>27</v>
      </c>
      <c r="D103" s="478"/>
      <c r="E103" s="21" t="s">
        <v>791</v>
      </c>
      <c r="F103" s="21" t="s">
        <v>791</v>
      </c>
      <c r="G103" s="252"/>
      <c r="H103" s="21" t="s">
        <v>791</v>
      </c>
      <c r="I103" s="252"/>
      <c r="J103" s="106"/>
    </row>
    <row r="104" spans="1:10">
      <c r="A104" s="161"/>
      <c r="B104" s="52"/>
      <c r="C104" s="477" t="s">
        <v>28</v>
      </c>
      <c r="D104" s="478"/>
      <c r="E104" s="21" t="s">
        <v>791</v>
      </c>
      <c r="F104" s="21" t="s">
        <v>791</v>
      </c>
      <c r="G104" s="252"/>
      <c r="H104" s="21" t="s">
        <v>791</v>
      </c>
      <c r="I104" s="252"/>
      <c r="J104" s="106"/>
    </row>
    <row r="105" spans="1:10" ht="15.75">
      <c r="A105" s="161"/>
      <c r="B105" s="52"/>
      <c r="C105" s="477" t="s">
        <v>29</v>
      </c>
      <c r="D105" s="478"/>
      <c r="E105" s="21" t="s">
        <v>791</v>
      </c>
      <c r="F105" s="21" t="s">
        <v>791</v>
      </c>
      <c r="G105" s="252"/>
      <c r="H105" s="21" t="s">
        <v>791</v>
      </c>
      <c r="I105" s="138"/>
      <c r="J105" s="106"/>
    </row>
    <row r="106" spans="1:10">
      <c r="A106" s="161"/>
      <c r="B106" s="52"/>
      <c r="C106" s="477" t="s">
        <v>30</v>
      </c>
      <c r="D106" s="478"/>
      <c r="E106" s="21" t="s">
        <v>791</v>
      </c>
      <c r="F106" s="21" t="s">
        <v>791</v>
      </c>
      <c r="G106" s="252"/>
      <c r="H106" s="21" t="s">
        <v>791</v>
      </c>
      <c r="I106" s="252"/>
      <c r="J106" s="106"/>
    </row>
    <row r="107" spans="1:10">
      <c r="A107" s="161"/>
      <c r="B107" s="52"/>
      <c r="C107" s="477" t="s">
        <v>31</v>
      </c>
      <c r="D107" s="478"/>
      <c r="E107" s="21" t="s">
        <v>791</v>
      </c>
      <c r="F107" s="21" t="s">
        <v>791</v>
      </c>
      <c r="G107" s="252"/>
      <c r="H107" s="21" t="s">
        <v>791</v>
      </c>
      <c r="I107" s="252"/>
      <c r="J107" s="106"/>
    </row>
    <row r="108" spans="1:10">
      <c r="A108" s="161"/>
      <c r="B108" s="52"/>
      <c r="C108" s="477" t="s">
        <v>32</v>
      </c>
      <c r="D108" s="478"/>
      <c r="E108" s="21" t="s">
        <v>791</v>
      </c>
      <c r="F108" s="21" t="s">
        <v>791</v>
      </c>
      <c r="G108" s="252"/>
      <c r="H108" s="21" t="s">
        <v>791</v>
      </c>
      <c r="I108" s="252"/>
      <c r="J108" s="106"/>
    </row>
    <row r="109" spans="1:10">
      <c r="A109" s="161"/>
      <c r="B109" s="52"/>
      <c r="C109" s="477" t="s">
        <v>33</v>
      </c>
      <c r="D109" s="478"/>
      <c r="E109" s="21" t="s">
        <v>791</v>
      </c>
      <c r="F109" s="21" t="s">
        <v>791</v>
      </c>
      <c r="G109" s="252"/>
      <c r="H109" s="21" t="s">
        <v>791</v>
      </c>
      <c r="I109" s="252"/>
      <c r="J109" s="106"/>
    </row>
    <row r="110" spans="1:10">
      <c r="A110" s="161"/>
      <c r="B110" s="52"/>
      <c r="C110" s="477" t="s">
        <v>34</v>
      </c>
      <c r="D110" s="478"/>
      <c r="E110" s="21" t="s">
        <v>791</v>
      </c>
      <c r="F110" s="21" t="s">
        <v>791</v>
      </c>
      <c r="G110" s="252"/>
      <c r="H110" s="21" t="s">
        <v>791</v>
      </c>
      <c r="I110" s="252"/>
      <c r="J110" s="106"/>
    </row>
    <row r="111" spans="1:10">
      <c r="A111" s="161"/>
      <c r="B111" s="52"/>
      <c r="C111" s="477" t="s">
        <v>35</v>
      </c>
      <c r="D111" s="478"/>
      <c r="E111" s="21" t="s">
        <v>791</v>
      </c>
      <c r="F111" s="21" t="s">
        <v>791</v>
      </c>
      <c r="G111" s="252"/>
      <c r="H111" s="21" t="s">
        <v>791</v>
      </c>
      <c r="I111" s="252"/>
      <c r="J111" s="106"/>
    </row>
    <row r="112" spans="1:10">
      <c r="A112" s="161"/>
      <c r="B112" s="52"/>
      <c r="C112" s="477" t="s">
        <v>36</v>
      </c>
      <c r="D112" s="478"/>
      <c r="E112" s="21" t="s">
        <v>791</v>
      </c>
      <c r="F112" s="21" t="s">
        <v>791</v>
      </c>
      <c r="G112" s="252"/>
      <c r="H112" s="21" t="s">
        <v>791</v>
      </c>
      <c r="I112" s="252"/>
      <c r="J112" s="106"/>
    </row>
    <row r="113" spans="1:42">
      <c r="A113" s="161"/>
      <c r="B113" s="52"/>
      <c r="C113" s="477" t="s">
        <v>37</v>
      </c>
      <c r="D113" s="478"/>
      <c r="E113" s="21" t="s">
        <v>791</v>
      </c>
      <c r="F113" s="21" t="s">
        <v>791</v>
      </c>
      <c r="G113" s="252"/>
      <c r="H113" s="21" t="s">
        <v>791</v>
      </c>
      <c r="I113" s="252"/>
      <c r="J113" s="106"/>
    </row>
    <row r="114" spans="1:42">
      <c r="A114" s="161"/>
      <c r="B114" s="52"/>
      <c r="C114" s="477" t="s">
        <v>38</v>
      </c>
      <c r="D114" s="478"/>
      <c r="E114" s="21" t="s">
        <v>791</v>
      </c>
      <c r="F114" s="21" t="s">
        <v>791</v>
      </c>
      <c r="G114" s="252"/>
      <c r="H114" s="21" t="s">
        <v>791</v>
      </c>
      <c r="I114" s="252"/>
      <c r="J114" s="106"/>
    </row>
    <row r="115" spans="1:42">
      <c r="A115" s="161"/>
      <c r="B115" s="52"/>
      <c r="C115" s="477" t="s">
        <v>39</v>
      </c>
      <c r="D115" s="478"/>
      <c r="E115" s="21" t="s">
        <v>791</v>
      </c>
      <c r="F115" s="21" t="s">
        <v>791</v>
      </c>
      <c r="G115" s="252"/>
      <c r="H115" s="21" t="s">
        <v>791</v>
      </c>
      <c r="I115" s="252"/>
      <c r="J115" s="106"/>
    </row>
    <row r="116" spans="1:42">
      <c r="A116" s="161"/>
      <c r="B116" s="52"/>
      <c r="C116" s="477" t="s">
        <v>40</v>
      </c>
      <c r="D116" s="478"/>
      <c r="E116" s="21" t="s">
        <v>791</v>
      </c>
      <c r="F116" s="21" t="s">
        <v>791</v>
      </c>
      <c r="G116" s="252"/>
      <c r="H116" s="21" t="s">
        <v>791</v>
      </c>
      <c r="I116" s="252"/>
      <c r="J116" s="106"/>
    </row>
    <row r="117" spans="1:42">
      <c r="A117" s="161"/>
      <c r="B117" s="52"/>
      <c r="C117" s="477" t="s">
        <v>41</v>
      </c>
      <c r="D117" s="478"/>
      <c r="E117" s="21" t="s">
        <v>791</v>
      </c>
      <c r="F117" s="21" t="s">
        <v>791</v>
      </c>
      <c r="G117" s="252"/>
      <c r="H117" s="21" t="s">
        <v>791</v>
      </c>
      <c r="I117" s="252"/>
      <c r="J117" s="106"/>
    </row>
    <row r="118" spans="1:42">
      <c r="A118" s="161"/>
      <c r="B118" s="52"/>
      <c r="C118" s="252"/>
      <c r="D118" s="252"/>
      <c r="E118" s="252"/>
      <c r="F118" s="252"/>
      <c r="G118" s="252"/>
      <c r="H118" s="139"/>
      <c r="I118" s="119"/>
      <c r="J118" s="253"/>
    </row>
    <row r="119" spans="1:42" ht="15.75">
      <c r="A119" s="161">
        <f>A94+1</f>
        <v>249</v>
      </c>
      <c r="B119" s="52" t="s">
        <v>636</v>
      </c>
      <c r="C119" s="144" t="s">
        <v>49</v>
      </c>
      <c r="D119" s="138"/>
      <c r="E119" s="138"/>
      <c r="F119" s="1050">
        <f>(SUM(J8:J13)*(1-F67))+(SUM(J16:J21)*(1-F68))+(SUM(J24:J29)*(1-F69))+(SUM(J32:J37)*(1-F70))+(SUM(J40:J45)*(1-F71))+(H48*(1-F72))+H51+F57+SUM(F59:F64)+(E97+F97)+H97</f>
        <v>0</v>
      </c>
      <c r="G119" s="138"/>
      <c r="H119" s="138"/>
      <c r="I119" s="138"/>
      <c r="J119" s="253"/>
    </row>
    <row r="120" spans="1:42" ht="13.5" thickBot="1">
      <c r="A120" s="168"/>
      <c r="B120" s="132"/>
      <c r="C120" s="258"/>
      <c r="D120" s="258"/>
      <c r="E120" s="258"/>
      <c r="F120" s="258"/>
      <c r="G120" s="258"/>
      <c r="H120" s="258"/>
      <c r="I120" s="258"/>
      <c r="J120" s="259"/>
    </row>
    <row r="121" spans="1:42">
      <c r="A121" s="52"/>
      <c r="B121" s="52"/>
      <c r="C121" s="415">
        <f>PROJNAME</f>
        <v>0</v>
      </c>
      <c r="D121" s="252"/>
      <c r="E121" s="252"/>
      <c r="F121" s="252"/>
      <c r="G121" s="252"/>
      <c r="H121" s="137" t="e">
        <f>$H$53</f>
        <v>#VALUE!</v>
      </c>
      <c r="I121" s="1280" t="e">
        <f>$I$53</f>
        <v>#VALUE!</v>
      </c>
      <c r="J121" s="1280"/>
    </row>
    <row r="122" spans="1:42" s="85" customFormat="1" ht="13.5" thickBot="1">
      <c r="A122" s="115" t="s">
        <v>1424</v>
      </c>
      <c r="B122" s="52"/>
      <c r="C122" s="119"/>
      <c r="D122" s="80"/>
      <c r="E122" s="80"/>
      <c r="F122" s="80"/>
      <c r="G122" s="80"/>
      <c r="H122" s="80"/>
      <c r="I122" s="119" t="s">
        <v>50</v>
      </c>
      <c r="J122" s="80"/>
      <c r="Q122" s="416"/>
      <c r="AD122" s="103"/>
      <c r="AE122" s="103"/>
      <c r="AF122" s="103"/>
      <c r="AG122" s="103"/>
      <c r="AH122" s="103"/>
      <c r="AI122" s="103"/>
      <c r="AJ122" s="103"/>
      <c r="AK122" s="103"/>
      <c r="AL122" s="103"/>
      <c r="AM122" s="103"/>
      <c r="AN122" s="103"/>
      <c r="AO122" s="103"/>
      <c r="AP122" s="103"/>
    </row>
    <row r="123" spans="1:42" ht="18.75" thickBot="1">
      <c r="A123" s="422" t="s">
        <v>51</v>
      </c>
      <c r="B123" s="479"/>
      <c r="C123" s="360"/>
      <c r="D123" s="360"/>
      <c r="E123" s="360"/>
      <c r="F123" s="360"/>
      <c r="G123" s="360"/>
      <c r="H123" s="360"/>
      <c r="I123" s="360"/>
      <c r="J123" s="480"/>
    </row>
    <row r="124" spans="1:42" ht="16.5" thickTop="1">
      <c r="A124" s="116"/>
      <c r="B124" s="153" t="s">
        <v>52</v>
      </c>
      <c r="C124" s="252"/>
      <c r="D124" s="138"/>
      <c r="E124" s="176" t="s">
        <v>657</v>
      </c>
      <c r="F124" s="176" t="s">
        <v>1263</v>
      </c>
      <c r="G124" s="176" t="s">
        <v>1264</v>
      </c>
      <c r="H124" s="176" t="s">
        <v>1265</v>
      </c>
      <c r="I124" s="139"/>
      <c r="J124" s="156"/>
    </row>
    <row r="125" spans="1:42" s="84" customFormat="1" ht="15">
      <c r="A125" s="161">
        <f>A119+1</f>
        <v>250</v>
      </c>
      <c r="B125" s="52" t="s">
        <v>636</v>
      </c>
      <c r="C125" s="87" t="s">
        <v>53</v>
      </c>
      <c r="D125" s="87"/>
      <c r="E125" s="481">
        <f>F125+G125</f>
        <v>0</v>
      </c>
      <c r="F125" s="16"/>
      <c r="G125" s="880"/>
      <c r="H125" s="1322"/>
      <c r="I125" s="1323"/>
      <c r="J125" s="89"/>
      <c r="Q125" s="441"/>
      <c r="AD125" s="103"/>
      <c r="AE125" s="103"/>
      <c r="AF125" s="103"/>
      <c r="AG125" s="103"/>
      <c r="AH125" s="103"/>
      <c r="AI125" s="103"/>
      <c r="AJ125" s="103"/>
      <c r="AK125" s="103"/>
      <c r="AL125" s="103"/>
      <c r="AM125" s="103"/>
      <c r="AN125" s="103"/>
      <c r="AO125" s="103"/>
      <c r="AP125" s="103"/>
    </row>
    <row r="126" spans="1:42" s="85" customFormat="1" ht="15.75">
      <c r="A126" s="79"/>
      <c r="B126" s="80"/>
      <c r="C126" s="80"/>
      <c r="D126" s="80"/>
      <c r="E126" s="138"/>
      <c r="F126" s="537"/>
      <c r="G126" s="537"/>
      <c r="H126" s="537"/>
      <c r="I126" s="537"/>
      <c r="J126" s="83"/>
      <c r="K126" s="84"/>
      <c r="L126" s="84"/>
      <c r="M126" s="84"/>
      <c r="N126" s="84"/>
      <c r="O126" s="84"/>
      <c r="P126" s="84"/>
      <c r="Q126" s="441"/>
      <c r="AD126" s="103"/>
      <c r="AE126" s="103"/>
      <c r="AF126" s="103"/>
      <c r="AG126" s="103"/>
      <c r="AH126" s="103"/>
      <c r="AI126" s="103"/>
      <c r="AJ126" s="103"/>
      <c r="AK126" s="103"/>
      <c r="AL126" s="103"/>
      <c r="AM126" s="103"/>
      <c r="AN126" s="103"/>
      <c r="AO126" s="103"/>
      <c r="AP126" s="103"/>
    </row>
    <row r="127" spans="1:42" s="84" customFormat="1" ht="15">
      <c r="A127" s="161">
        <f>A125+1</f>
        <v>251</v>
      </c>
      <c r="B127" s="52" t="s">
        <v>636</v>
      </c>
      <c r="C127" s="87" t="s">
        <v>54</v>
      </c>
      <c r="D127" s="87"/>
      <c r="E127" s="481">
        <f t="shared" ref="E127:E138" si="11">F127+G127</f>
        <v>0</v>
      </c>
      <c r="F127" s="16"/>
      <c r="G127" s="880"/>
      <c r="H127" s="1322"/>
      <c r="I127" s="1323"/>
      <c r="J127" s="89"/>
      <c r="Q127" s="441"/>
      <c r="AD127" s="103"/>
      <c r="AE127" s="103"/>
      <c r="AF127" s="103"/>
      <c r="AG127" s="103"/>
      <c r="AH127" s="103"/>
      <c r="AI127" s="103"/>
      <c r="AJ127" s="103"/>
      <c r="AK127" s="103"/>
      <c r="AL127" s="103"/>
      <c r="AM127" s="103"/>
      <c r="AN127" s="103"/>
      <c r="AO127" s="103"/>
      <c r="AP127" s="103"/>
    </row>
    <row r="128" spans="1:42" s="84" customFormat="1" ht="15">
      <c r="A128" s="161">
        <f t="shared" ref="A128:A139" si="12">A127+1</f>
        <v>252</v>
      </c>
      <c r="B128" s="52" t="s">
        <v>636</v>
      </c>
      <c r="C128" s="87" t="s">
        <v>55</v>
      </c>
      <c r="D128" s="87"/>
      <c r="E128" s="481">
        <f t="shared" si="11"/>
        <v>0</v>
      </c>
      <c r="F128" s="16"/>
      <c r="G128" s="880"/>
      <c r="H128" s="1322"/>
      <c r="I128" s="1323"/>
      <c r="J128" s="89"/>
      <c r="Q128" s="441"/>
      <c r="AD128" s="103"/>
      <c r="AE128" s="103"/>
      <c r="AF128" s="103"/>
      <c r="AG128" s="103"/>
      <c r="AH128" s="103"/>
      <c r="AI128" s="103"/>
      <c r="AJ128" s="103"/>
      <c r="AK128" s="103"/>
      <c r="AL128" s="103"/>
      <c r="AM128" s="103"/>
      <c r="AN128" s="103"/>
      <c r="AO128" s="103"/>
      <c r="AP128" s="103"/>
    </row>
    <row r="129" spans="1:42" s="84" customFormat="1" ht="15">
      <c r="A129" s="161">
        <f t="shared" si="12"/>
        <v>253</v>
      </c>
      <c r="B129" s="52" t="s">
        <v>636</v>
      </c>
      <c r="C129" s="87" t="s">
        <v>1280</v>
      </c>
      <c r="D129" s="87"/>
      <c r="E129" s="481">
        <f t="shared" si="11"/>
        <v>0</v>
      </c>
      <c r="F129" s="16"/>
      <c r="G129" s="880"/>
      <c r="H129" s="1322"/>
      <c r="I129" s="1323"/>
      <c r="J129" s="89"/>
      <c r="Q129" s="441"/>
      <c r="AD129" s="103"/>
      <c r="AE129" s="103"/>
      <c r="AF129" s="103"/>
      <c r="AG129" s="103"/>
      <c r="AH129" s="103"/>
      <c r="AI129" s="103"/>
      <c r="AJ129" s="103"/>
      <c r="AK129" s="103"/>
      <c r="AL129" s="103"/>
      <c r="AM129" s="103"/>
      <c r="AN129" s="103"/>
      <c r="AO129" s="103"/>
      <c r="AP129" s="103"/>
    </row>
    <row r="130" spans="1:42" s="84" customFormat="1" ht="15">
      <c r="A130" s="161">
        <f t="shared" si="12"/>
        <v>254</v>
      </c>
      <c r="B130" s="52" t="s">
        <v>636</v>
      </c>
      <c r="C130" s="87" t="s">
        <v>56</v>
      </c>
      <c r="D130" s="87"/>
      <c r="E130" s="481">
        <f t="shared" si="11"/>
        <v>0</v>
      </c>
      <c r="F130" s="16"/>
      <c r="G130" s="880"/>
      <c r="H130" s="1322"/>
      <c r="I130" s="1323"/>
      <c r="J130" s="89"/>
      <c r="Q130" s="441"/>
      <c r="AD130" s="103"/>
      <c r="AE130" s="103"/>
      <c r="AF130" s="103"/>
      <c r="AG130" s="103"/>
      <c r="AH130" s="103"/>
      <c r="AI130" s="103"/>
      <c r="AJ130" s="103"/>
      <c r="AK130" s="103"/>
      <c r="AL130" s="103"/>
      <c r="AM130" s="103"/>
      <c r="AN130" s="103"/>
      <c r="AO130" s="103"/>
      <c r="AP130" s="103"/>
    </row>
    <row r="131" spans="1:42" s="84" customFormat="1" ht="15">
      <c r="A131" s="161">
        <f t="shared" si="12"/>
        <v>255</v>
      </c>
      <c r="B131" s="52" t="s">
        <v>636</v>
      </c>
      <c r="C131" s="87" t="s">
        <v>57</v>
      </c>
      <c r="D131" s="87"/>
      <c r="E131" s="481">
        <f t="shared" si="11"/>
        <v>0</v>
      </c>
      <c r="F131" s="16"/>
      <c r="G131" s="880"/>
      <c r="H131" s="1322"/>
      <c r="I131" s="1323"/>
      <c r="J131" s="89"/>
      <c r="Q131" s="441"/>
      <c r="AD131" s="103"/>
      <c r="AE131" s="103"/>
      <c r="AF131" s="103"/>
      <c r="AG131" s="103"/>
      <c r="AH131" s="103"/>
      <c r="AI131" s="103"/>
      <c r="AJ131" s="103"/>
      <c r="AK131" s="103"/>
      <c r="AL131" s="103"/>
      <c r="AM131" s="103"/>
      <c r="AN131" s="103"/>
      <c r="AO131" s="103"/>
      <c r="AP131" s="103"/>
    </row>
    <row r="132" spans="1:42" s="84" customFormat="1" ht="15">
      <c r="A132" s="161">
        <f t="shared" si="12"/>
        <v>256</v>
      </c>
      <c r="B132" s="52" t="s">
        <v>636</v>
      </c>
      <c r="C132" s="87" t="s">
        <v>58</v>
      </c>
      <c r="D132" s="87"/>
      <c r="E132" s="481">
        <f t="shared" si="11"/>
        <v>0</v>
      </c>
      <c r="F132" s="16"/>
      <c r="G132" s="880"/>
      <c r="H132" s="1322"/>
      <c r="I132" s="1323"/>
      <c r="J132" s="89"/>
      <c r="Q132" s="441"/>
      <c r="AD132" s="103"/>
      <c r="AE132" s="103"/>
      <c r="AF132" s="103"/>
      <c r="AG132" s="103"/>
      <c r="AH132" s="103"/>
      <c r="AI132" s="103"/>
      <c r="AJ132" s="103"/>
      <c r="AK132" s="103"/>
      <c r="AL132" s="103"/>
      <c r="AM132" s="103"/>
      <c r="AN132" s="103"/>
      <c r="AO132" s="103"/>
      <c r="AP132" s="103"/>
    </row>
    <row r="133" spans="1:42" s="84" customFormat="1" ht="15">
      <c r="A133" s="161">
        <f t="shared" si="12"/>
        <v>257</v>
      </c>
      <c r="B133" s="52" t="s">
        <v>636</v>
      </c>
      <c r="C133" s="87" t="s">
        <v>59</v>
      </c>
      <c r="D133" s="87"/>
      <c r="E133" s="481">
        <f t="shared" si="11"/>
        <v>0</v>
      </c>
      <c r="F133" s="16"/>
      <c r="G133" s="880"/>
      <c r="H133" s="1322"/>
      <c r="I133" s="1323"/>
      <c r="J133" s="89"/>
      <c r="Q133" s="441"/>
      <c r="AD133" s="103"/>
      <c r="AE133" s="103"/>
      <c r="AF133" s="103"/>
      <c r="AG133" s="103"/>
      <c r="AH133" s="103"/>
      <c r="AI133" s="103"/>
      <c r="AJ133" s="103"/>
      <c r="AK133" s="103"/>
      <c r="AL133" s="103"/>
      <c r="AM133" s="103"/>
      <c r="AN133" s="103"/>
      <c r="AO133" s="103"/>
      <c r="AP133" s="103"/>
    </row>
    <row r="134" spans="1:42" s="84" customFormat="1" ht="15">
      <c r="A134" s="161">
        <f t="shared" si="12"/>
        <v>258</v>
      </c>
      <c r="B134" s="52" t="s">
        <v>636</v>
      </c>
      <c r="C134" s="87" t="s">
        <v>60</v>
      </c>
      <c r="D134" s="87"/>
      <c r="E134" s="481">
        <f t="shared" si="11"/>
        <v>0</v>
      </c>
      <c r="F134" s="16"/>
      <c r="G134" s="880"/>
      <c r="H134" s="1322"/>
      <c r="I134" s="1323"/>
      <c r="J134" s="89"/>
      <c r="Q134" s="441"/>
      <c r="AD134" s="103"/>
      <c r="AE134" s="103"/>
      <c r="AF134" s="103"/>
      <c r="AG134" s="103"/>
      <c r="AH134" s="103"/>
      <c r="AI134" s="103"/>
      <c r="AJ134" s="103"/>
      <c r="AK134" s="103"/>
      <c r="AL134" s="103"/>
      <c r="AM134" s="103"/>
      <c r="AN134" s="103"/>
      <c r="AO134" s="103"/>
      <c r="AP134" s="103"/>
    </row>
    <row r="135" spans="1:42" s="84" customFormat="1" ht="15">
      <c r="A135" s="161">
        <f t="shared" si="12"/>
        <v>259</v>
      </c>
      <c r="B135" s="52" t="s">
        <v>636</v>
      </c>
      <c r="C135" s="87" t="s">
        <v>61</v>
      </c>
      <c r="D135" s="87"/>
      <c r="E135" s="481">
        <f t="shared" si="11"/>
        <v>0</v>
      </c>
      <c r="F135" s="16"/>
      <c r="G135" s="880"/>
      <c r="H135" s="1322"/>
      <c r="I135" s="1323"/>
      <c r="J135" s="89"/>
      <c r="Q135" s="441"/>
      <c r="AD135" s="103"/>
      <c r="AE135" s="103"/>
      <c r="AF135" s="103"/>
      <c r="AG135" s="103"/>
      <c r="AH135" s="103"/>
      <c r="AI135" s="103"/>
      <c r="AJ135" s="103"/>
      <c r="AK135" s="103"/>
      <c r="AL135" s="103"/>
      <c r="AM135" s="103"/>
      <c r="AN135" s="103"/>
      <c r="AO135" s="103"/>
      <c r="AP135" s="103"/>
    </row>
    <row r="136" spans="1:42" s="84" customFormat="1" ht="15">
      <c r="A136" s="161">
        <f t="shared" si="12"/>
        <v>260</v>
      </c>
      <c r="B136" s="52" t="s">
        <v>636</v>
      </c>
      <c r="C136" s="87" t="s">
        <v>707</v>
      </c>
      <c r="D136" s="87"/>
      <c r="E136" s="481">
        <f t="shared" si="11"/>
        <v>0</v>
      </c>
      <c r="F136" s="16"/>
      <c r="G136" s="880"/>
      <c r="H136" s="1322"/>
      <c r="I136" s="1323"/>
      <c r="J136" s="89"/>
      <c r="Q136" s="441"/>
      <c r="AD136" s="103"/>
      <c r="AE136" s="103"/>
      <c r="AF136" s="103"/>
      <c r="AG136" s="103"/>
      <c r="AH136" s="103"/>
      <c r="AI136" s="103"/>
      <c r="AJ136" s="103"/>
      <c r="AK136" s="103"/>
      <c r="AL136" s="103"/>
      <c r="AM136" s="103"/>
      <c r="AN136" s="103"/>
      <c r="AO136" s="103"/>
      <c r="AP136" s="103"/>
    </row>
    <row r="137" spans="1:42" s="84" customFormat="1" ht="15">
      <c r="A137" s="161">
        <f t="shared" si="12"/>
        <v>261</v>
      </c>
      <c r="B137" s="52" t="s">
        <v>636</v>
      </c>
      <c r="C137" s="1326" t="s">
        <v>790</v>
      </c>
      <c r="D137" s="1326"/>
      <c r="E137" s="481">
        <f t="shared" si="11"/>
        <v>0</v>
      </c>
      <c r="F137" s="16"/>
      <c r="G137" s="880"/>
      <c r="H137" s="1322"/>
      <c r="I137" s="1323"/>
      <c r="J137" s="89"/>
      <c r="Q137" s="441"/>
      <c r="AD137" s="103"/>
      <c r="AE137" s="103"/>
      <c r="AF137" s="103"/>
      <c r="AG137" s="103"/>
      <c r="AH137" s="103"/>
      <c r="AI137" s="103"/>
      <c r="AJ137" s="103"/>
      <c r="AK137" s="103"/>
      <c r="AL137" s="103"/>
      <c r="AM137" s="103"/>
      <c r="AN137" s="103"/>
      <c r="AO137" s="103"/>
      <c r="AP137" s="103"/>
    </row>
    <row r="138" spans="1:42" s="84" customFormat="1" ht="15">
      <c r="A138" s="161">
        <f t="shared" si="12"/>
        <v>262</v>
      </c>
      <c r="B138" s="52" t="s">
        <v>636</v>
      </c>
      <c r="C138" s="1326" t="s">
        <v>790</v>
      </c>
      <c r="D138" s="1326"/>
      <c r="E138" s="481">
        <f t="shared" si="11"/>
        <v>0</v>
      </c>
      <c r="F138" s="16"/>
      <c r="G138" s="880"/>
      <c r="H138" s="1322"/>
      <c r="I138" s="1323"/>
      <c r="J138" s="89"/>
      <c r="Q138" s="441"/>
      <c r="AD138" s="103"/>
      <c r="AE138" s="103"/>
      <c r="AF138" s="103"/>
      <c r="AG138" s="103"/>
      <c r="AH138" s="103"/>
      <c r="AI138" s="103"/>
      <c r="AJ138" s="103"/>
      <c r="AK138" s="103"/>
      <c r="AL138" s="103"/>
      <c r="AM138" s="103"/>
      <c r="AN138" s="103"/>
      <c r="AO138" s="103"/>
      <c r="AP138" s="103"/>
    </row>
    <row r="139" spans="1:42" ht="15.75">
      <c r="A139" s="161">
        <f t="shared" si="12"/>
        <v>263</v>
      </c>
      <c r="B139" s="52" t="s">
        <v>636</v>
      </c>
      <c r="C139" s="144" t="s">
        <v>62</v>
      </c>
      <c r="D139" s="138"/>
      <c r="E139" s="1050">
        <f>SUM(E127:E138)</f>
        <v>0</v>
      </c>
      <c r="F139" s="1050">
        <f>SUM(F127:F138)</f>
        <v>0</v>
      </c>
      <c r="G139" s="1050">
        <f>SUM(G127:G138)</f>
        <v>0</v>
      </c>
      <c r="H139" s="138"/>
      <c r="I139" s="138"/>
      <c r="J139" s="156"/>
    </row>
    <row r="140" spans="1:42" s="85" customFormat="1" ht="11.25">
      <c r="A140" s="79"/>
      <c r="B140" s="80"/>
      <c r="C140" s="80"/>
      <c r="D140" s="80"/>
      <c r="E140" s="80"/>
      <c r="F140" s="80"/>
      <c r="G140" s="80"/>
      <c r="H140" s="80"/>
      <c r="I140" s="80"/>
      <c r="J140" s="83"/>
      <c r="Q140" s="416"/>
      <c r="AD140" s="103"/>
      <c r="AE140" s="103"/>
      <c r="AF140" s="103"/>
      <c r="AG140" s="103"/>
      <c r="AH140" s="103"/>
      <c r="AI140" s="103"/>
      <c r="AJ140" s="103"/>
      <c r="AK140" s="103"/>
      <c r="AL140" s="103"/>
      <c r="AM140" s="103"/>
      <c r="AN140" s="103"/>
      <c r="AO140" s="103"/>
      <c r="AP140" s="103"/>
    </row>
    <row r="141" spans="1:42" s="84" customFormat="1" ht="15">
      <c r="A141" s="161">
        <f>A139+1</f>
        <v>264</v>
      </c>
      <c r="B141" s="52" t="s">
        <v>636</v>
      </c>
      <c r="C141" s="87" t="s">
        <v>63</v>
      </c>
      <c r="D141" s="87"/>
      <c r="E141" s="481">
        <f t="shared" ref="E141:E152" si="13">F141+G141</f>
        <v>0</v>
      </c>
      <c r="F141" s="16"/>
      <c r="G141" s="880"/>
      <c r="H141" s="1322"/>
      <c r="I141" s="1323"/>
      <c r="J141" s="89"/>
      <c r="Q141" s="441"/>
      <c r="AD141" s="103"/>
      <c r="AE141" s="103"/>
      <c r="AF141" s="103"/>
      <c r="AG141" s="103"/>
      <c r="AH141" s="103"/>
      <c r="AI141" s="103"/>
      <c r="AJ141" s="103"/>
      <c r="AK141" s="103"/>
      <c r="AL141" s="103"/>
      <c r="AM141" s="103"/>
      <c r="AN141" s="103"/>
      <c r="AO141" s="103"/>
      <c r="AP141" s="103"/>
    </row>
    <row r="142" spans="1:42" s="84" customFormat="1" ht="15">
      <c r="A142" s="161">
        <f t="shared" ref="A142:A153" si="14">A141+1</f>
        <v>265</v>
      </c>
      <c r="B142" s="52" t="s">
        <v>636</v>
      </c>
      <c r="C142" s="87" t="s">
        <v>55</v>
      </c>
      <c r="D142" s="87"/>
      <c r="E142" s="481">
        <f t="shared" si="13"/>
        <v>0</v>
      </c>
      <c r="F142" s="16"/>
      <c r="G142" s="880"/>
      <c r="H142" s="1322"/>
      <c r="I142" s="1323"/>
      <c r="J142" s="89"/>
      <c r="Q142" s="441"/>
      <c r="AD142" s="103"/>
      <c r="AE142" s="103"/>
      <c r="AF142" s="103"/>
      <c r="AG142" s="103"/>
      <c r="AH142" s="103"/>
      <c r="AI142" s="103"/>
      <c r="AJ142" s="103"/>
      <c r="AK142" s="103"/>
      <c r="AL142" s="103"/>
      <c r="AM142" s="103"/>
      <c r="AN142" s="103"/>
      <c r="AO142" s="103"/>
      <c r="AP142" s="103"/>
    </row>
    <row r="143" spans="1:42" s="84" customFormat="1" ht="15">
      <c r="A143" s="161">
        <f t="shared" si="14"/>
        <v>266</v>
      </c>
      <c r="B143" s="52" t="s">
        <v>636</v>
      </c>
      <c r="C143" s="87" t="s">
        <v>64</v>
      </c>
      <c r="D143" s="87"/>
      <c r="E143" s="481">
        <f t="shared" si="13"/>
        <v>0</v>
      </c>
      <c r="F143" s="16"/>
      <c r="G143" s="880"/>
      <c r="H143" s="1322"/>
      <c r="I143" s="1323"/>
      <c r="J143" s="89"/>
      <c r="Q143" s="441"/>
      <c r="AD143" s="103"/>
      <c r="AE143" s="103"/>
      <c r="AF143" s="103"/>
      <c r="AG143" s="103"/>
      <c r="AH143" s="103"/>
      <c r="AI143" s="103"/>
      <c r="AJ143" s="103"/>
      <c r="AK143" s="103"/>
      <c r="AL143" s="103"/>
      <c r="AM143" s="103"/>
      <c r="AN143" s="103"/>
      <c r="AO143" s="103"/>
      <c r="AP143" s="103"/>
    </row>
    <row r="144" spans="1:42" s="84" customFormat="1" ht="15">
      <c r="A144" s="161">
        <f t="shared" si="14"/>
        <v>267</v>
      </c>
      <c r="B144" s="52" t="s">
        <v>636</v>
      </c>
      <c r="C144" s="87" t="s">
        <v>65</v>
      </c>
      <c r="D144" s="87"/>
      <c r="E144" s="481">
        <f t="shared" si="13"/>
        <v>0</v>
      </c>
      <c r="F144" s="16"/>
      <c r="G144" s="880"/>
      <c r="H144" s="1322"/>
      <c r="I144" s="1323"/>
      <c r="J144" s="89"/>
      <c r="Q144" s="441"/>
      <c r="AD144" s="103"/>
      <c r="AE144" s="103"/>
      <c r="AF144" s="103"/>
      <c r="AG144" s="103"/>
      <c r="AH144" s="103"/>
      <c r="AI144" s="103"/>
      <c r="AJ144" s="103"/>
      <c r="AK144" s="103"/>
      <c r="AL144" s="103"/>
      <c r="AM144" s="103"/>
      <c r="AN144" s="103"/>
      <c r="AO144" s="103"/>
      <c r="AP144" s="103"/>
    </row>
    <row r="145" spans="1:17" s="84" customFormat="1" ht="15">
      <c r="A145" s="161">
        <f t="shared" si="14"/>
        <v>268</v>
      </c>
      <c r="B145" s="52" t="s">
        <v>636</v>
      </c>
      <c r="C145" s="87" t="s">
        <v>68</v>
      </c>
      <c r="D145" s="87"/>
      <c r="E145" s="481">
        <f t="shared" si="13"/>
        <v>0</v>
      </c>
      <c r="F145" s="16"/>
      <c r="G145" s="880"/>
      <c r="H145" s="1322"/>
      <c r="I145" s="1323"/>
      <c r="J145" s="89"/>
      <c r="Q145" s="441"/>
    </row>
    <row r="146" spans="1:17" s="84" customFormat="1" ht="15">
      <c r="A146" s="161">
        <f t="shared" si="14"/>
        <v>269</v>
      </c>
      <c r="B146" s="52" t="s">
        <v>636</v>
      </c>
      <c r="C146" s="87" t="s">
        <v>69</v>
      </c>
      <c r="D146" s="87"/>
      <c r="E146" s="481">
        <f t="shared" si="13"/>
        <v>0</v>
      </c>
      <c r="F146" s="16"/>
      <c r="G146" s="880"/>
      <c r="H146" s="1322"/>
      <c r="I146" s="1323"/>
      <c r="J146" s="89"/>
      <c r="Q146" s="441"/>
    </row>
    <row r="147" spans="1:17" s="84" customFormat="1" ht="15">
      <c r="A147" s="161">
        <f t="shared" si="14"/>
        <v>270</v>
      </c>
      <c r="B147" s="52" t="s">
        <v>636</v>
      </c>
      <c r="C147" s="87" t="s">
        <v>70</v>
      </c>
      <c r="D147" s="87"/>
      <c r="E147" s="481">
        <f t="shared" si="13"/>
        <v>0</v>
      </c>
      <c r="F147" s="16"/>
      <c r="G147" s="880"/>
      <c r="H147" s="1322"/>
      <c r="I147" s="1323"/>
      <c r="J147" s="89"/>
      <c r="Q147" s="441"/>
    </row>
    <row r="148" spans="1:17" s="84" customFormat="1" ht="15">
      <c r="A148" s="161">
        <f t="shared" si="14"/>
        <v>271</v>
      </c>
      <c r="B148" s="52" t="s">
        <v>636</v>
      </c>
      <c r="C148" s="87" t="s">
        <v>71</v>
      </c>
      <c r="D148" s="87"/>
      <c r="E148" s="481">
        <f t="shared" si="13"/>
        <v>0</v>
      </c>
      <c r="F148" s="16"/>
      <c r="G148" s="880"/>
      <c r="H148" s="1322"/>
      <c r="I148" s="1323"/>
      <c r="J148" s="89"/>
      <c r="Q148" s="441"/>
    </row>
    <row r="149" spans="1:17" s="84" customFormat="1" ht="15">
      <c r="A149" s="161">
        <f t="shared" si="14"/>
        <v>272</v>
      </c>
      <c r="B149" s="52" t="s">
        <v>636</v>
      </c>
      <c r="C149" s="87" t="s">
        <v>72</v>
      </c>
      <c r="D149" s="87"/>
      <c r="E149" s="481">
        <f t="shared" si="13"/>
        <v>0</v>
      </c>
      <c r="F149" s="16"/>
      <c r="G149" s="880"/>
      <c r="H149" s="1322"/>
      <c r="I149" s="1323"/>
      <c r="J149" s="89"/>
      <c r="Q149" s="441"/>
    </row>
    <row r="150" spans="1:17" s="84" customFormat="1" ht="15">
      <c r="A150" s="161">
        <f t="shared" si="14"/>
        <v>273</v>
      </c>
      <c r="B150" s="52" t="s">
        <v>636</v>
      </c>
      <c r="C150" s="87" t="s">
        <v>73</v>
      </c>
      <c r="D150" s="87"/>
      <c r="E150" s="481">
        <f t="shared" si="13"/>
        <v>0</v>
      </c>
      <c r="F150" s="16"/>
      <c r="G150" s="880"/>
      <c r="H150" s="1322"/>
      <c r="I150" s="1323"/>
      <c r="J150" s="89"/>
      <c r="Q150" s="441"/>
    </row>
    <row r="151" spans="1:17" s="84" customFormat="1" ht="15">
      <c r="A151" s="161">
        <f t="shared" si="14"/>
        <v>274</v>
      </c>
      <c r="B151" s="52" t="s">
        <v>636</v>
      </c>
      <c r="C151" s="87" t="s">
        <v>74</v>
      </c>
      <c r="D151" s="87"/>
      <c r="E151" s="481">
        <f t="shared" si="13"/>
        <v>0</v>
      </c>
      <c r="F151" s="16"/>
      <c r="G151" s="880"/>
      <c r="H151" s="1322"/>
      <c r="I151" s="1323"/>
      <c r="J151" s="89"/>
      <c r="Q151" s="441"/>
    </row>
    <row r="152" spans="1:17" s="84" customFormat="1" ht="15">
      <c r="A152" s="161">
        <f t="shared" si="14"/>
        <v>275</v>
      </c>
      <c r="B152" s="52" t="s">
        <v>636</v>
      </c>
      <c r="C152" s="1326" t="s">
        <v>790</v>
      </c>
      <c r="D152" s="1326"/>
      <c r="E152" s="481">
        <f t="shared" si="13"/>
        <v>0</v>
      </c>
      <c r="F152" s="16"/>
      <c r="G152" s="880"/>
      <c r="H152" s="1322"/>
      <c r="I152" s="1323"/>
      <c r="J152" s="89"/>
      <c r="Q152" s="441"/>
    </row>
    <row r="153" spans="1:17" ht="15.75">
      <c r="A153" s="161">
        <f t="shared" si="14"/>
        <v>276</v>
      </c>
      <c r="B153" s="52" t="s">
        <v>636</v>
      </c>
      <c r="C153" s="144" t="s">
        <v>75</v>
      </c>
      <c r="D153" s="138"/>
      <c r="E153" s="1050">
        <f>SUM(E141:E152)</f>
        <v>0</v>
      </c>
      <c r="F153" s="1050">
        <f>SUM(F141:F152)</f>
        <v>0</v>
      </c>
      <c r="G153" s="1050">
        <f>SUM(G141:G152)</f>
        <v>0</v>
      </c>
      <c r="H153" s="138"/>
      <c r="I153" s="138"/>
      <c r="J153" s="89"/>
    </row>
    <row r="154" spans="1:17" ht="15.75">
      <c r="A154" s="161"/>
      <c r="B154" s="52"/>
      <c r="C154" s="252"/>
      <c r="D154" s="252"/>
      <c r="E154" s="138"/>
      <c r="F154" s="138"/>
      <c r="G154" s="138"/>
      <c r="H154" s="138"/>
      <c r="I154" s="138"/>
      <c r="J154" s="89"/>
    </row>
    <row r="155" spans="1:17" ht="15.75">
      <c r="A155" s="161">
        <f>A153+1</f>
        <v>277</v>
      </c>
      <c r="B155" s="52" t="s">
        <v>636</v>
      </c>
      <c r="C155" s="144" t="s">
        <v>76</v>
      </c>
      <c r="D155" s="138"/>
      <c r="E155" s="481">
        <f>F155+G155</f>
        <v>0</v>
      </c>
      <c r="F155" s="16"/>
      <c r="G155" s="880"/>
      <c r="H155" s="1335"/>
      <c r="I155" s="1336"/>
      <c r="J155" s="89"/>
    </row>
    <row r="156" spans="1:17" ht="15.75">
      <c r="A156" s="161"/>
      <c r="B156" s="52"/>
      <c r="C156" s="144"/>
      <c r="D156" s="138"/>
      <c r="E156" s="138"/>
      <c r="F156" s="138"/>
      <c r="G156" s="138"/>
      <c r="H156" s="1337"/>
      <c r="I156" s="1338"/>
      <c r="J156" s="89"/>
    </row>
    <row r="157" spans="1:17" ht="15.75">
      <c r="A157" s="161"/>
      <c r="B157" s="52"/>
      <c r="C157" s="144"/>
      <c r="D157" s="138"/>
      <c r="E157" s="138"/>
      <c r="F157" s="138"/>
      <c r="G157" s="138"/>
      <c r="H157" s="1339"/>
      <c r="I157" s="1340"/>
      <c r="J157" s="89"/>
    </row>
    <row r="158" spans="1:17" ht="15.75">
      <c r="A158" s="161"/>
      <c r="B158" s="52"/>
      <c r="C158" s="144"/>
      <c r="D158" s="138"/>
      <c r="E158" s="138"/>
      <c r="F158" s="138"/>
      <c r="G158" s="138"/>
      <c r="H158" s="138"/>
      <c r="I158" s="138"/>
      <c r="J158" s="89"/>
    </row>
    <row r="159" spans="1:17" ht="15.75">
      <c r="A159" s="161">
        <f>A155+1</f>
        <v>278</v>
      </c>
      <c r="B159" s="52" t="s">
        <v>636</v>
      </c>
      <c r="C159" s="144" t="s">
        <v>1294</v>
      </c>
      <c r="D159" s="138"/>
      <c r="E159" s="481">
        <f>F159+G159</f>
        <v>0</v>
      </c>
      <c r="F159" s="16"/>
      <c r="G159" s="880"/>
      <c r="H159" s="1322"/>
      <c r="I159" s="1323"/>
      <c r="J159" s="89"/>
    </row>
    <row r="160" spans="1:17" ht="15.75">
      <c r="A160" s="161"/>
      <c r="B160" s="52"/>
      <c r="C160" s="252"/>
      <c r="D160" s="252"/>
      <c r="E160" s="138"/>
      <c r="F160" s="138"/>
      <c r="G160" s="138"/>
      <c r="H160" s="138"/>
      <c r="I160" s="138"/>
      <c r="J160" s="89"/>
    </row>
    <row r="161" spans="1:17" s="84" customFormat="1" ht="15">
      <c r="A161" s="161">
        <f>A159+1</f>
        <v>279</v>
      </c>
      <c r="B161" s="52" t="s">
        <v>636</v>
      </c>
      <c r="C161" s="87" t="s">
        <v>77</v>
      </c>
      <c r="D161" s="87"/>
      <c r="E161" s="481">
        <f>F161+G161</f>
        <v>0</v>
      </c>
      <c r="F161" s="16"/>
      <c r="G161" s="880"/>
      <c r="H161" s="1322"/>
      <c r="I161" s="1323"/>
      <c r="J161" s="89"/>
      <c r="Q161" s="441"/>
    </row>
    <row r="162" spans="1:17" s="84" customFormat="1" ht="15">
      <c r="A162" s="161">
        <f>A161+1</f>
        <v>280</v>
      </c>
      <c r="B162" s="52" t="s">
        <v>636</v>
      </c>
      <c r="C162" s="87" t="s">
        <v>78</v>
      </c>
      <c r="D162" s="87"/>
      <c r="E162" s="481">
        <f>F162+G162</f>
        <v>0</v>
      </c>
      <c r="F162" s="16"/>
      <c r="G162" s="880"/>
      <c r="H162" s="1322"/>
      <c r="I162" s="1323"/>
      <c r="J162" s="89"/>
      <c r="Q162" s="441"/>
    </row>
    <row r="163" spans="1:17" s="84" customFormat="1" ht="15">
      <c r="A163" s="161">
        <f>A162+1</f>
        <v>281</v>
      </c>
      <c r="B163" s="52" t="s">
        <v>636</v>
      </c>
      <c r="C163" s="87" t="s">
        <v>737</v>
      </c>
      <c r="D163" s="87"/>
      <c r="E163" s="481">
        <f>F163+G163</f>
        <v>0</v>
      </c>
      <c r="F163" s="16"/>
      <c r="G163" s="880"/>
      <c r="H163" s="1322"/>
      <c r="I163" s="1323"/>
      <c r="J163" s="89"/>
      <c r="Q163" s="441"/>
    </row>
    <row r="164" spans="1:17" s="84" customFormat="1" ht="15">
      <c r="A164" s="161">
        <f>A163+1</f>
        <v>282</v>
      </c>
      <c r="B164" s="52" t="s">
        <v>636</v>
      </c>
      <c r="C164" s="87" t="s">
        <v>79</v>
      </c>
      <c r="D164" s="87"/>
      <c r="E164" s="481">
        <f>F164+G164</f>
        <v>0</v>
      </c>
      <c r="F164" s="16"/>
      <c r="G164" s="880"/>
      <c r="H164" s="1322"/>
      <c r="I164" s="1323"/>
      <c r="J164" s="89"/>
      <c r="Q164" s="441"/>
    </row>
    <row r="165" spans="1:17" ht="15.75">
      <c r="A165" s="161">
        <f>A164+1</f>
        <v>283</v>
      </c>
      <c r="B165" s="52" t="s">
        <v>636</v>
      </c>
      <c r="C165" s="144" t="s">
        <v>80</v>
      </c>
      <c r="D165" s="138"/>
      <c r="E165" s="1050">
        <f>SUM(E161:E164)</f>
        <v>0</v>
      </c>
      <c r="F165" s="1050">
        <f>SUM(F161:F164)</f>
        <v>0</v>
      </c>
      <c r="G165" s="1050">
        <f>SUM(G161:G164)</f>
        <v>0</v>
      </c>
      <c r="H165" s="138"/>
      <c r="I165" s="138"/>
      <c r="J165" s="89"/>
    </row>
    <row r="166" spans="1:17" ht="15.75">
      <c r="A166" s="161"/>
      <c r="B166" s="52"/>
      <c r="C166" s="252"/>
      <c r="D166" s="252"/>
      <c r="E166" s="138"/>
      <c r="F166" s="138"/>
      <c r="G166" s="138"/>
      <c r="H166" s="138"/>
      <c r="I166" s="138"/>
      <c r="J166" s="89"/>
    </row>
    <row r="167" spans="1:17" ht="15.75">
      <c r="A167" s="161">
        <f>A165+1</f>
        <v>284</v>
      </c>
      <c r="B167" s="52" t="s">
        <v>636</v>
      </c>
      <c r="C167" s="144" t="s">
        <v>81</v>
      </c>
      <c r="D167" s="138"/>
      <c r="E167" s="481">
        <f>F167+G167</f>
        <v>0</v>
      </c>
      <c r="F167" s="16"/>
      <c r="G167" s="880"/>
      <c r="H167" s="1324"/>
      <c r="I167" s="1252"/>
      <c r="J167" s="89"/>
    </row>
    <row r="168" spans="1:17" ht="15.75">
      <c r="A168" s="161"/>
      <c r="B168" s="52"/>
      <c r="C168" s="202"/>
      <c r="D168" s="252"/>
      <c r="E168" s="138"/>
      <c r="F168" s="138"/>
      <c r="G168" s="138"/>
      <c r="H168" s="138"/>
      <c r="I168" s="138"/>
      <c r="J168" s="89"/>
    </row>
    <row r="169" spans="1:17" ht="15.75">
      <c r="A169" s="161">
        <f>A167+1</f>
        <v>285</v>
      </c>
      <c r="B169" s="52" t="s">
        <v>636</v>
      </c>
      <c r="C169" s="144" t="s">
        <v>82</v>
      </c>
      <c r="D169" s="138"/>
      <c r="E169" s="481">
        <f>F169+G169</f>
        <v>0</v>
      </c>
      <c r="F169" s="16"/>
      <c r="G169" s="880"/>
      <c r="H169" s="1324"/>
      <c r="I169" s="1252"/>
      <c r="J169" s="89"/>
    </row>
    <row r="170" spans="1:17" ht="15.75">
      <c r="A170" s="161"/>
      <c r="B170" s="52"/>
      <c r="C170" s="252"/>
      <c r="D170" s="252"/>
      <c r="E170" s="138"/>
      <c r="F170" s="138"/>
      <c r="G170" s="138"/>
      <c r="H170" s="138"/>
      <c r="I170" s="138"/>
      <c r="J170" s="89"/>
    </row>
    <row r="171" spans="1:17" s="84" customFormat="1" ht="15">
      <c r="A171" s="161">
        <f>A169+1</f>
        <v>286</v>
      </c>
      <c r="B171" s="52" t="s">
        <v>636</v>
      </c>
      <c r="C171" s="87" t="s">
        <v>1290</v>
      </c>
      <c r="D171" s="87"/>
      <c r="E171" s="481">
        <f>F171+G171</f>
        <v>0</v>
      </c>
      <c r="F171" s="16"/>
      <c r="G171" s="880"/>
      <c r="H171" s="1324"/>
      <c r="I171" s="1252"/>
      <c r="J171" s="89"/>
      <c r="Q171" s="441"/>
    </row>
    <row r="172" spans="1:17" s="84" customFormat="1" ht="15">
      <c r="A172" s="161">
        <f>A171+1</f>
        <v>287</v>
      </c>
      <c r="B172" s="52" t="s">
        <v>636</v>
      </c>
      <c r="C172" s="87" t="s">
        <v>83</v>
      </c>
      <c r="D172" s="87"/>
      <c r="E172" s="481">
        <f>F172+G172</f>
        <v>0</v>
      </c>
      <c r="F172" s="16"/>
      <c r="G172" s="880"/>
      <c r="H172" s="1324"/>
      <c r="I172" s="1252"/>
      <c r="J172" s="89"/>
      <c r="Q172" s="441"/>
    </row>
    <row r="173" spans="1:17" s="84" customFormat="1" ht="15">
      <c r="A173" s="161">
        <f>A172+1</f>
        <v>288</v>
      </c>
      <c r="B173" s="52" t="s">
        <v>636</v>
      </c>
      <c r="C173" s="87" t="s">
        <v>1291</v>
      </c>
      <c r="D173" s="87"/>
      <c r="E173" s="481">
        <f>F173+G173</f>
        <v>0</v>
      </c>
      <c r="F173" s="16"/>
      <c r="G173" s="880"/>
      <c r="H173" s="1324"/>
      <c r="I173" s="1252"/>
      <c r="J173" s="89"/>
      <c r="Q173" s="441"/>
    </row>
    <row r="174" spans="1:17" s="84" customFormat="1" ht="15.75">
      <c r="A174" s="161">
        <f>A173+1</f>
        <v>289</v>
      </c>
      <c r="B174" s="52" t="s">
        <v>636</v>
      </c>
      <c r="C174" s="87" t="s">
        <v>230</v>
      </c>
      <c r="D174"/>
      <c r="E174" s="481">
        <f>F174+G174</f>
        <v>0</v>
      </c>
      <c r="F174" s="481">
        <f>'3. Sources Uses'!V18+'3. Sources Uses'!AH18+'3. Sources Uses'!AT18+'3. Sources Uses'!BG18+'3. Sources Uses'!BT18</f>
        <v>0</v>
      </c>
      <c r="G174" s="138"/>
      <c r="H174" s="1324"/>
      <c r="I174" s="1252"/>
      <c r="J174" s="89"/>
      <c r="Q174" s="441"/>
    </row>
    <row r="175" spans="1:17" s="84" customFormat="1" ht="15">
      <c r="A175" s="161">
        <f>A174+1</f>
        <v>290</v>
      </c>
      <c r="B175" s="52" t="s">
        <v>636</v>
      </c>
      <c r="C175" s="1326" t="s">
        <v>790</v>
      </c>
      <c r="D175" s="1326"/>
      <c r="E175" s="481">
        <f>F175+G175</f>
        <v>0</v>
      </c>
      <c r="F175" s="16"/>
      <c r="G175" s="880"/>
      <c r="H175" s="1324"/>
      <c r="I175" s="1252"/>
      <c r="J175" s="89"/>
      <c r="Q175" s="441"/>
    </row>
    <row r="176" spans="1:17" ht="15.75">
      <c r="A176" s="161">
        <f>A175+1</f>
        <v>291</v>
      </c>
      <c r="B176" s="52" t="s">
        <v>636</v>
      </c>
      <c r="C176" s="144" t="s">
        <v>85</v>
      </c>
      <c r="D176" s="138"/>
      <c r="E176" s="1050">
        <f>SUM(E171:E175)</f>
        <v>0</v>
      </c>
      <c r="F176" s="1050">
        <f>SUM(F171:F175)</f>
        <v>0</v>
      </c>
      <c r="G176" s="1050">
        <f>SUM(G171:G175)</f>
        <v>0</v>
      </c>
      <c r="H176" s="138"/>
      <c r="I176" s="138"/>
      <c r="J176" s="89"/>
    </row>
    <row r="177" spans="1:17" ht="15.75">
      <c r="A177" s="161"/>
      <c r="B177" s="52"/>
      <c r="C177" s="252"/>
      <c r="D177" s="252"/>
      <c r="E177" s="138"/>
      <c r="F177" s="138"/>
      <c r="G177" s="138"/>
      <c r="H177" s="138"/>
      <c r="I177" s="138"/>
      <c r="J177" s="89"/>
    </row>
    <row r="178" spans="1:17" ht="15.75">
      <c r="A178" s="161">
        <f>A176+1</f>
        <v>292</v>
      </c>
      <c r="B178" s="52" t="s">
        <v>636</v>
      </c>
      <c r="C178" s="144" t="s">
        <v>86</v>
      </c>
      <c r="D178" s="138"/>
      <c r="E178" s="1050">
        <f>E125+E139+E153+E155+E159+E165+E167+E169+E176</f>
        <v>0</v>
      </c>
      <c r="F178" s="1050">
        <f>F125+F139+F153+F155+F159+F165+F167+F169+F176</f>
        <v>0</v>
      </c>
      <c r="G178" s="1050">
        <f>G125+G139+G153+G155+G159+G165+G167+G169+G176</f>
        <v>0</v>
      </c>
      <c r="H178" s="138"/>
      <c r="I178" s="138"/>
      <c r="J178" s="89"/>
    </row>
    <row r="179" spans="1:17" ht="13.5" thickBot="1">
      <c r="A179" s="168"/>
      <c r="B179" s="132"/>
      <c r="C179" s="258"/>
      <c r="D179" s="258"/>
      <c r="E179" s="258"/>
      <c r="F179" s="258"/>
      <c r="G179" s="258"/>
      <c r="H179" s="258"/>
      <c r="I179" s="258"/>
      <c r="J179" s="259"/>
    </row>
    <row r="180" spans="1:17">
      <c r="A180" s="52"/>
      <c r="B180" s="52"/>
      <c r="C180" s="136">
        <f>PROJNAME</f>
        <v>0</v>
      </c>
      <c r="D180" s="252"/>
      <c r="E180" s="252"/>
      <c r="F180" s="252"/>
      <c r="G180" s="252"/>
      <c r="H180" s="137" t="e">
        <f>$H$53</f>
        <v>#VALUE!</v>
      </c>
      <c r="I180" s="1189" t="e">
        <f>$I$53</f>
        <v>#VALUE!</v>
      </c>
      <c r="J180" s="1189"/>
    </row>
    <row r="181" spans="1:17" s="85" customFormat="1" ht="13.5" thickBot="1">
      <c r="A181" s="115" t="s">
        <v>1424</v>
      </c>
      <c r="B181" s="52"/>
      <c r="C181" s="119"/>
      <c r="D181" s="80"/>
      <c r="E181" s="80"/>
      <c r="F181" s="80"/>
      <c r="G181" s="80"/>
      <c r="H181" s="80"/>
      <c r="I181" s="119" t="s">
        <v>87</v>
      </c>
      <c r="J181" s="80"/>
      <c r="Q181" s="416"/>
    </row>
    <row r="182" spans="1:17" ht="18.75">
      <c r="A182" s="246"/>
      <c r="B182" s="141"/>
      <c r="C182" s="473" t="s">
        <v>88</v>
      </c>
      <c r="D182" s="141"/>
      <c r="E182" s="247"/>
      <c r="F182" s="247"/>
      <c r="G182" s="247"/>
      <c r="H182" s="247"/>
      <c r="I182" s="247"/>
      <c r="J182" s="248"/>
    </row>
    <row r="183" spans="1:17" ht="15.75">
      <c r="A183" s="161"/>
      <c r="B183" s="52"/>
      <c r="C183" s="144" t="s">
        <v>92</v>
      </c>
      <c r="D183" s="138"/>
      <c r="E183" s="138"/>
      <c r="F183" s="176" t="s">
        <v>1437</v>
      </c>
      <c r="G183" s="176" t="s">
        <v>1438</v>
      </c>
      <c r="H183" s="176" t="s">
        <v>1439</v>
      </c>
      <c r="I183" s="176" t="s">
        <v>1440</v>
      </c>
      <c r="J183" s="156"/>
    </row>
    <row r="184" spans="1:17" s="84" customFormat="1" ht="15.75">
      <c r="A184" s="161">
        <f>A178+1</f>
        <v>293</v>
      </c>
      <c r="B184" s="52" t="s">
        <v>636</v>
      </c>
      <c r="C184" s="87" t="s">
        <v>96</v>
      </c>
      <c r="D184" s="87"/>
      <c r="E184" s="138"/>
      <c r="F184" s="22" t="s">
        <v>1180</v>
      </c>
      <c r="G184" s="22" t="s">
        <v>1180</v>
      </c>
      <c r="H184" s="22" t="s">
        <v>1180</v>
      </c>
      <c r="I184" s="22" t="s">
        <v>1180</v>
      </c>
      <c r="J184" s="89"/>
      <c r="Q184" s="441"/>
    </row>
    <row r="185" spans="1:17" s="84" customFormat="1" ht="15.75">
      <c r="A185" s="161">
        <f>A184+1</f>
        <v>294</v>
      </c>
      <c r="B185" s="52" t="s">
        <v>636</v>
      </c>
      <c r="C185" s="87" t="s">
        <v>97</v>
      </c>
      <c r="D185" s="87"/>
      <c r="E185" s="138"/>
      <c r="F185" s="22" t="s">
        <v>1180</v>
      </c>
      <c r="G185" s="22" t="s">
        <v>1180</v>
      </c>
      <c r="H185" s="22" t="s">
        <v>1180</v>
      </c>
      <c r="I185" s="22" t="s">
        <v>1180</v>
      </c>
      <c r="J185" s="89"/>
      <c r="Q185" s="441"/>
    </row>
    <row r="186" spans="1:17" s="84" customFormat="1" ht="15.75">
      <c r="A186" s="161">
        <f>A185+1</f>
        <v>295</v>
      </c>
      <c r="B186" s="52" t="s">
        <v>636</v>
      </c>
      <c r="C186" s="87" t="s">
        <v>530</v>
      </c>
      <c r="D186" s="87"/>
      <c r="E186" s="138"/>
      <c r="F186" s="22" t="s">
        <v>1180</v>
      </c>
      <c r="G186" s="22" t="s">
        <v>1180</v>
      </c>
      <c r="H186" s="22" t="s">
        <v>1180</v>
      </c>
      <c r="I186" s="22" t="s">
        <v>1180</v>
      </c>
      <c r="J186" s="89"/>
      <c r="Q186" s="441"/>
    </row>
    <row r="187" spans="1:17" ht="15.75">
      <c r="A187" s="161"/>
      <c r="B187" s="52"/>
      <c r="C187" s="252"/>
      <c r="D187" s="252"/>
      <c r="E187" s="138"/>
      <c r="F187" s="138"/>
      <c r="G187" s="138"/>
      <c r="H187" s="252"/>
      <c r="I187" s="252"/>
      <c r="J187" s="253"/>
    </row>
    <row r="188" spans="1:17" ht="15.75">
      <c r="A188" s="161"/>
      <c r="B188" s="52"/>
      <c r="C188" s="139"/>
      <c r="D188" s="252"/>
      <c r="E188" s="138"/>
      <c r="F188" s="138"/>
      <c r="G188" s="138"/>
      <c r="H188" s="252"/>
      <c r="I188" s="252"/>
      <c r="J188" s="253"/>
      <c r="K188" s="84"/>
      <c r="L188" s="84"/>
      <c r="M188" s="84"/>
      <c r="N188" s="84"/>
      <c r="O188" s="84"/>
      <c r="P188" s="84"/>
      <c r="Q188" s="441"/>
    </row>
    <row r="189" spans="1:17" ht="15.75">
      <c r="A189" s="161"/>
      <c r="B189" s="52"/>
      <c r="C189" s="252"/>
      <c r="D189" s="252"/>
      <c r="E189" s="138"/>
      <c r="F189" s="138"/>
      <c r="G189" s="138"/>
      <c r="H189" s="252"/>
      <c r="I189" s="252"/>
      <c r="J189" s="253"/>
      <c r="L189" s="84"/>
      <c r="M189" s="84"/>
      <c r="N189" s="84"/>
      <c r="O189" s="84"/>
      <c r="P189" s="84"/>
      <c r="Q189" s="441"/>
    </row>
    <row r="190" spans="1:17" ht="15.75">
      <c r="A190" s="161"/>
      <c r="B190" s="52"/>
      <c r="C190" s="144" t="s">
        <v>98</v>
      </c>
      <c r="D190" s="252"/>
      <c r="E190" s="138"/>
      <c r="F190" s="138"/>
      <c r="G190" s="138"/>
      <c r="H190" s="252"/>
      <c r="I190" s="252"/>
      <c r="J190" s="253"/>
    </row>
    <row r="191" spans="1:17" s="84" customFormat="1" ht="15.75">
      <c r="A191" s="161">
        <f>A186+1</f>
        <v>296</v>
      </c>
      <c r="B191" s="52" t="s">
        <v>636</v>
      </c>
      <c r="C191" s="754" t="s">
        <v>66</v>
      </c>
      <c r="D191" s="754"/>
      <c r="E191" s="754"/>
      <c r="F191" s="753"/>
      <c r="G191" s="138" t="s">
        <v>100</v>
      </c>
      <c r="H191" s="87"/>
      <c r="I191" s="87"/>
      <c r="J191" s="89"/>
      <c r="Q191" s="441"/>
    </row>
    <row r="192" spans="1:17" s="84" customFormat="1" ht="15.75">
      <c r="A192" s="161">
        <f>A191+1</f>
        <v>297</v>
      </c>
      <c r="B192" s="52" t="s">
        <v>636</v>
      </c>
      <c r="C192" s="754" t="s">
        <v>67</v>
      </c>
      <c r="D192" s="754"/>
      <c r="E192" s="754"/>
      <c r="F192" s="753"/>
      <c r="G192" s="138" t="s">
        <v>100</v>
      </c>
      <c r="H192" s="87"/>
      <c r="I192" s="87"/>
      <c r="J192" s="89"/>
      <c r="Q192" s="441"/>
    </row>
    <row r="193" spans="1:27" ht="15.75">
      <c r="A193" s="161"/>
      <c r="B193" s="52"/>
      <c r="C193" s="252"/>
      <c r="D193" s="252"/>
      <c r="E193" s="252"/>
      <c r="F193" s="252"/>
      <c r="G193" s="138"/>
      <c r="H193" s="252"/>
      <c r="I193" s="252"/>
      <c r="J193" s="253"/>
    </row>
    <row r="194" spans="1:27" ht="15.75">
      <c r="A194" s="161"/>
      <c r="B194" s="52"/>
      <c r="C194" s="144" t="s">
        <v>101</v>
      </c>
      <c r="D194" s="138"/>
      <c r="E194" s="139"/>
      <c r="F194" s="139"/>
      <c r="G194" s="176" t="s">
        <v>102</v>
      </c>
      <c r="H194" s="139"/>
      <c r="I194" s="139"/>
      <c r="J194" s="156"/>
    </row>
    <row r="195" spans="1:27">
      <c r="A195" s="161"/>
      <c r="B195" s="52"/>
      <c r="C195" s="52"/>
      <c r="D195" s="52"/>
      <c r="E195" s="52"/>
      <c r="F195" s="52"/>
      <c r="G195" s="176" t="s">
        <v>103</v>
      </c>
      <c r="H195" s="482"/>
      <c r="I195" s="139"/>
      <c r="J195" s="106"/>
    </row>
    <row r="196" spans="1:27" s="84" customFormat="1" ht="15">
      <c r="A196" s="161">
        <f>A192+1</f>
        <v>298</v>
      </c>
      <c r="B196" s="52" t="s">
        <v>636</v>
      </c>
      <c r="C196" s="754" t="str">
        <f>'3. Sources Uses'!C33</f>
        <v>MHFA</v>
      </c>
      <c r="D196" s="1318" t="str">
        <f>'3. Sources Uses'!D33:E33</f>
        <v>MHFA Program 1</v>
      </c>
      <c r="E196" s="1319"/>
      <c r="F196" s="754"/>
      <c r="G196" s="481" t="str">
        <f>IF('3. Sources Uses'!I33&lt;&gt;0,((PMT(('3. Sources Uses'!G33/12),('3. Sources Uses'!I33*12),-'3. Sources Uses'!F33)*12)+('3. Sources Uses'!F33*'3. Sources Uses'!H33)),"          N/A")</f>
        <v xml:space="preserve">          N/A</v>
      </c>
      <c r="H196" s="466"/>
      <c r="I196" s="87"/>
      <c r="J196" s="89"/>
      <c r="Q196" s="441"/>
    </row>
    <row r="197" spans="1:27" s="84" customFormat="1" ht="15">
      <c r="A197" s="161">
        <f>A196+1</f>
        <v>299</v>
      </c>
      <c r="B197" s="52" t="s">
        <v>636</v>
      </c>
      <c r="C197" s="754" t="str">
        <f>'3. Sources Uses'!C34</f>
        <v>MHFA</v>
      </c>
      <c r="D197" s="1318" t="str">
        <f>'3. Sources Uses'!D34:E34</f>
        <v>MHFA Program 2</v>
      </c>
      <c r="E197" s="1319"/>
      <c r="F197" s="754"/>
      <c r="G197" s="481" t="str">
        <f>IF('3. Sources Uses'!I34&lt;&gt;0,((PMT(('3. Sources Uses'!G34/12),('3. Sources Uses'!I34*12),-'3. Sources Uses'!F34)*12)+('3. Sources Uses'!F34*'3. Sources Uses'!H34)),"          N/A")</f>
        <v xml:space="preserve">          N/A</v>
      </c>
      <c r="H197" s="466"/>
      <c r="I197" s="87"/>
      <c r="J197" s="89"/>
      <c r="Q197" s="441"/>
    </row>
    <row r="198" spans="1:27" s="84" customFormat="1" ht="15">
      <c r="A198" s="161">
        <f>A197+1</f>
        <v>300</v>
      </c>
      <c r="B198" s="52" t="s">
        <v>636</v>
      </c>
      <c r="C198" s="754" t="s">
        <v>1192</v>
      </c>
      <c r="D198" s="754"/>
      <c r="E198" s="754"/>
      <c r="F198" s="754"/>
      <c r="G198" s="481" t="str">
        <f>IF('3. Sources Uses'!I35&lt;&gt;0,(PMT(('3. Sources Uses'!G35/12),('3. Sources Uses'!I35*12),-'3. Sources Uses'!F35)*12),"          N/A")</f>
        <v xml:space="preserve">          N/A</v>
      </c>
      <c r="H198" s="466"/>
      <c r="I198" s="87"/>
      <c r="J198" s="89"/>
      <c r="Q198" s="441"/>
    </row>
    <row r="199" spans="1:27" s="84" customFormat="1" ht="15">
      <c r="A199" s="161">
        <f>A198+1</f>
        <v>301</v>
      </c>
      <c r="B199" s="52" t="s">
        <v>636</v>
      </c>
      <c r="C199" s="754" t="s">
        <v>642</v>
      </c>
      <c r="D199" s="754"/>
      <c r="E199" s="754"/>
      <c r="F199" s="754"/>
      <c r="G199" s="481" t="str">
        <f>IF('3. Sources Uses'!I36&lt;&gt;0,(PMT(('3. Sources Uses'!G36/12),('3. Sources Uses'!I36*12),-'3. Sources Uses'!F36)*12),"          N/A")</f>
        <v xml:space="preserve">          N/A</v>
      </c>
      <c r="H199" s="87"/>
      <c r="I199" s="87"/>
      <c r="J199" s="89"/>
      <c r="Q199" s="441"/>
    </row>
    <row r="200" spans="1:27" s="84" customFormat="1" ht="15.75">
      <c r="A200" s="161"/>
      <c r="B200" s="52"/>
      <c r="C200" s="138" t="s">
        <v>1182</v>
      </c>
      <c r="D200" s="483" t="str">
        <f>IF('3. Sources Uses'!D37&lt;&gt;0,+'3. Sources Uses'!D37,"     N/A")</f>
        <v xml:space="preserve">     N/A</v>
      </c>
      <c r="E200" s="484"/>
      <c r="F200" s="138"/>
      <c r="G200" s="138"/>
      <c r="H200" s="87"/>
      <c r="I200" s="119"/>
      <c r="J200" s="89"/>
      <c r="Q200" s="441"/>
    </row>
    <row r="201" spans="1:27" s="84" customFormat="1" ht="15">
      <c r="A201" s="161">
        <f>A199+1</f>
        <v>302</v>
      </c>
      <c r="B201" s="52" t="s">
        <v>636</v>
      </c>
      <c r="C201" s="754" t="s">
        <v>642</v>
      </c>
      <c r="D201" s="754"/>
      <c r="E201" s="754"/>
      <c r="F201" s="754"/>
      <c r="G201" s="481" t="str">
        <f>IF('3. Sources Uses'!I38&lt;&gt;0,(PMT(('3. Sources Uses'!G38/12),('3. Sources Uses'!I38*12),-'3. Sources Uses'!F38)*12),"          N/A")</f>
        <v xml:space="preserve">          N/A</v>
      </c>
      <c r="H201" s="87"/>
      <c r="I201" s="87"/>
      <c r="J201" s="89"/>
      <c r="K201" s="403"/>
      <c r="L201" s="403"/>
      <c r="M201" s="403"/>
      <c r="N201" s="403"/>
      <c r="O201" s="403"/>
      <c r="P201" s="403"/>
      <c r="Q201" s="485"/>
      <c r="R201" s="403"/>
      <c r="S201" s="403"/>
      <c r="T201" s="403"/>
      <c r="U201" s="403"/>
      <c r="V201" s="403"/>
      <c r="W201" s="403"/>
      <c r="X201" s="403"/>
      <c r="Y201" s="403"/>
      <c r="Z201" s="403"/>
      <c r="AA201" s="403"/>
    </row>
    <row r="202" spans="1:27" s="84" customFormat="1" ht="15.75">
      <c r="A202" s="161"/>
      <c r="B202" s="52"/>
      <c r="C202" s="138" t="s">
        <v>1182</v>
      </c>
      <c r="D202" s="483" t="str">
        <f>IF('3. Sources Uses'!D39&lt;&gt;0,+'3. Sources Uses'!D39,"     N/A")</f>
        <v xml:space="preserve">     N/A</v>
      </c>
      <c r="E202" s="484"/>
      <c r="F202" s="138"/>
      <c r="G202" s="138"/>
      <c r="H202" s="138"/>
      <c r="I202" s="87"/>
      <c r="J202" s="89"/>
      <c r="Q202" s="441"/>
    </row>
    <row r="203" spans="1:27" ht="15.75">
      <c r="A203" s="161">
        <f>A201+1</f>
        <v>303</v>
      </c>
      <c r="B203" s="52" t="s">
        <v>636</v>
      </c>
      <c r="C203" s="780" t="s">
        <v>1193</v>
      </c>
      <c r="D203" s="780"/>
      <c r="E203" s="780"/>
      <c r="F203" s="780"/>
      <c r="G203" s="1050">
        <f>SUM(G196:G199)+G201</f>
        <v>0</v>
      </c>
      <c r="H203" s="138"/>
      <c r="I203" s="252"/>
      <c r="J203" s="156"/>
    </row>
    <row r="204" spans="1:27" ht="15.75">
      <c r="A204" s="161"/>
      <c r="B204" s="52"/>
      <c r="C204" s="138"/>
      <c r="D204" s="138"/>
      <c r="E204" s="138"/>
      <c r="F204" s="138"/>
      <c r="G204" s="211"/>
      <c r="H204" s="138"/>
      <c r="I204" s="138"/>
      <c r="J204" s="156"/>
      <c r="K204" s="486"/>
      <c r="L204" s="486"/>
      <c r="M204" s="486"/>
      <c r="N204" s="486"/>
      <c r="O204" s="486"/>
      <c r="P204" s="486"/>
      <c r="Q204" s="487"/>
      <c r="R204" s="486"/>
      <c r="S204" s="486"/>
      <c r="T204" s="486"/>
      <c r="U204" s="486"/>
      <c r="V204" s="486"/>
      <c r="W204" s="486"/>
      <c r="X204" s="486"/>
      <c r="Y204" s="486"/>
      <c r="Z204" s="486"/>
      <c r="AA204" s="486"/>
    </row>
    <row r="205" spans="1:27" ht="15.75">
      <c r="A205" s="161">
        <f>A203+1</f>
        <v>304</v>
      </c>
      <c r="B205" s="52" t="s">
        <v>636</v>
      </c>
      <c r="C205" s="780" t="s">
        <v>452</v>
      </c>
      <c r="D205" s="780"/>
      <c r="E205" s="780"/>
      <c r="F205" s="780"/>
      <c r="G205" s="1050">
        <f>F119-E178</f>
        <v>0</v>
      </c>
      <c r="H205" s="191" t="s">
        <v>104</v>
      </c>
      <c r="I205" s="138"/>
      <c r="J205" s="156"/>
    </row>
    <row r="206" spans="1:27" ht="15.75">
      <c r="A206" s="161"/>
      <c r="B206" s="52"/>
      <c r="C206" s="138"/>
      <c r="D206" s="138"/>
      <c r="E206" s="138"/>
      <c r="F206" s="138"/>
      <c r="G206" s="211"/>
      <c r="H206" s="138"/>
      <c r="I206" s="138"/>
      <c r="J206" s="156"/>
    </row>
    <row r="207" spans="1:27" ht="15.75">
      <c r="A207" s="161">
        <f>A205+1</f>
        <v>305</v>
      </c>
      <c r="B207" s="52" t="s">
        <v>636</v>
      </c>
      <c r="C207" s="780" t="s">
        <v>454</v>
      </c>
      <c r="D207" s="780"/>
      <c r="E207" s="780"/>
      <c r="F207" s="780"/>
      <c r="G207" s="1107" t="str">
        <f>IF(G203&gt;0,G205/G203,"          N/A")</f>
        <v xml:space="preserve">          N/A</v>
      </c>
      <c r="H207" s="191" t="s">
        <v>104</v>
      </c>
      <c r="I207" s="138"/>
      <c r="J207" s="156"/>
    </row>
    <row r="208" spans="1:27" ht="15.75">
      <c r="A208" s="161"/>
      <c r="B208" s="52"/>
      <c r="C208" s="252"/>
      <c r="D208" s="488"/>
      <c r="E208" s="252"/>
      <c r="F208" s="252"/>
      <c r="G208" s="138"/>
      <c r="H208" s="252"/>
      <c r="I208" s="252"/>
      <c r="J208" s="253"/>
    </row>
    <row r="209" spans="1:42" ht="13.5" thickBot="1">
      <c r="A209" s="161"/>
      <c r="B209" s="52"/>
      <c r="C209" s="252"/>
      <c r="D209" s="252"/>
      <c r="E209" s="252"/>
      <c r="F209" s="252"/>
      <c r="G209" s="252"/>
      <c r="H209" s="252"/>
      <c r="I209" s="252"/>
      <c r="J209" s="253"/>
    </row>
    <row r="210" spans="1:42" s="78" customFormat="1" ht="17.25" thickTop="1" thickBot="1">
      <c r="A210" s="489" t="s">
        <v>105</v>
      </c>
      <c r="B210" s="490"/>
      <c r="C210" s="491"/>
      <c r="D210" s="492"/>
      <c r="E210" s="492"/>
      <c r="F210" s="492"/>
      <c r="G210" s="492"/>
      <c r="H210" s="492"/>
      <c r="I210" s="492"/>
      <c r="J210" s="493"/>
      <c r="K210" s="103"/>
      <c r="L210" s="103"/>
      <c r="M210" s="103"/>
      <c r="N210" s="103"/>
      <c r="O210" s="103"/>
      <c r="P210" s="103"/>
      <c r="Q210" s="419"/>
      <c r="U210" s="103"/>
      <c r="V210" s="103"/>
      <c r="W210" s="103"/>
      <c r="X210" s="103"/>
      <c r="Y210" s="103"/>
      <c r="Z210" s="103"/>
      <c r="AA210" s="103"/>
      <c r="AB210" s="103"/>
      <c r="AC210" s="103"/>
    </row>
    <row r="211" spans="1:42" ht="13.5" thickTop="1">
      <c r="A211" s="1116"/>
      <c r="B211" s="104"/>
      <c r="C211" s="250"/>
      <c r="D211" s="252"/>
      <c r="E211" s="252"/>
      <c r="F211" s="252"/>
      <c r="G211" s="252"/>
      <c r="H211" s="252"/>
      <c r="I211" s="252"/>
      <c r="J211" s="253"/>
    </row>
    <row r="212" spans="1:42" ht="15.75">
      <c r="A212" s="116">
        <f>A207+1</f>
        <v>306</v>
      </c>
      <c r="B212" s="104" t="s">
        <v>636</v>
      </c>
      <c r="C212" s="138" t="s">
        <v>329</v>
      </c>
      <c r="D212" s="539" t="s">
        <v>161</v>
      </c>
      <c r="E212" s="196" t="s">
        <v>11</v>
      </c>
      <c r="F212" s="869" t="s">
        <v>1371</v>
      </c>
      <c r="G212" s="866"/>
      <c r="H212" s="250"/>
      <c r="I212" s="250"/>
      <c r="J212" s="156"/>
      <c r="K212" s="494"/>
      <c r="L212" s="494"/>
      <c r="M212" s="494"/>
      <c r="N212" s="494"/>
      <c r="O212" s="494"/>
      <c r="P212" s="494"/>
      <c r="U212" s="494"/>
      <c r="V212" s="494"/>
      <c r="W212" s="494"/>
      <c r="X212" s="494"/>
      <c r="Y212" s="494"/>
      <c r="Z212" s="494"/>
      <c r="AA212" s="494"/>
    </row>
    <row r="213" spans="1:42" ht="15.75">
      <c r="A213" s="116"/>
      <c r="B213" s="104"/>
      <c r="C213" s="817" t="s">
        <v>1336</v>
      </c>
      <c r="D213" s="495"/>
      <c r="E213" s="495"/>
      <c r="F213" s="495"/>
      <c r="G213" s="250"/>
      <c r="H213" s="496"/>
      <c r="I213" s="250"/>
      <c r="J213" s="156"/>
    </row>
    <row r="214" spans="1:42" ht="15.75">
      <c r="A214" s="116">
        <f>A212+1</f>
        <v>307</v>
      </c>
      <c r="B214" s="104" t="s">
        <v>636</v>
      </c>
      <c r="C214" s="1049" t="s">
        <v>106</v>
      </c>
      <c r="D214" s="138"/>
      <c r="E214" s="138"/>
      <c r="F214" s="497"/>
      <c r="H214" s="497" t="s">
        <v>1059</v>
      </c>
      <c r="I214" s="538">
        <f>DATE(2015,1,29)</f>
        <v>42033</v>
      </c>
      <c r="J214" s="156"/>
    </row>
    <row r="215" spans="1:42" ht="24.75" customHeight="1">
      <c r="A215" s="116"/>
      <c r="B215" s="104"/>
      <c r="C215" s="1325"/>
      <c r="D215" s="1325"/>
      <c r="E215" s="1325"/>
      <c r="F215" s="1325"/>
      <c r="G215" s="1325"/>
      <c r="J215" s="156"/>
    </row>
    <row r="216" spans="1:42" ht="12.75" customHeight="1">
      <c r="A216" s="116"/>
      <c r="B216" s="104"/>
      <c r="C216" s="138"/>
      <c r="D216" s="471" t="s">
        <v>107</v>
      </c>
      <c r="E216" s="498"/>
      <c r="F216" s="498"/>
      <c r="G216" s="471" t="s">
        <v>531</v>
      </c>
      <c r="H216" s="119"/>
      <c r="I216" s="119"/>
      <c r="J216" s="156"/>
      <c r="R216" s="500"/>
      <c r="S216" s="455"/>
      <c r="T216" s="1327"/>
      <c r="U216" s="1328"/>
      <c r="V216" s="1328"/>
      <c r="W216" s="1328"/>
      <c r="X216" s="1329"/>
      <c r="Y216" s="1330"/>
      <c r="Z216" s="1330"/>
      <c r="AA216" s="1330"/>
      <c r="AB216" s="1330"/>
      <c r="AC216" s="455"/>
      <c r="AD216" s="455"/>
      <c r="AE216" s="455"/>
      <c r="AF216" s="455"/>
      <c r="AG216" s="455"/>
      <c r="AH216" s="455"/>
      <c r="AI216" s="455"/>
      <c r="AJ216" s="455"/>
      <c r="AK216" s="455"/>
      <c r="AL216" s="455"/>
      <c r="AM216" s="455"/>
      <c r="AN216" s="455"/>
      <c r="AO216" s="455"/>
      <c r="AP216" s="455"/>
    </row>
    <row r="217" spans="1:42" ht="14.1" customHeight="1">
      <c r="A217" s="116"/>
      <c r="B217" s="104"/>
      <c r="C217" s="138"/>
      <c r="D217" s="499">
        <v>0.5</v>
      </c>
      <c r="E217" s="499">
        <v>0.6</v>
      </c>
      <c r="F217" s="499">
        <f>'1. Description'!G74</f>
        <v>0</v>
      </c>
      <c r="G217" s="499">
        <v>0.5</v>
      </c>
      <c r="H217" s="499">
        <v>0.6</v>
      </c>
      <c r="I217" s="499">
        <f>F217</f>
        <v>0</v>
      </c>
      <c r="J217" s="156"/>
      <c r="R217" s="500"/>
      <c r="S217" s="500"/>
      <c r="T217" s="500"/>
      <c r="U217" s="500"/>
      <c r="V217" s="500"/>
      <c r="W217" s="500"/>
      <c r="X217" s="501"/>
      <c r="Y217" s="501"/>
      <c r="Z217" s="501"/>
      <c r="AA217" s="501"/>
      <c r="AB217" s="501"/>
      <c r="AC217" s="1327"/>
      <c r="AD217" s="1328"/>
      <c r="AE217" s="1333"/>
      <c r="AF217" s="1334"/>
      <c r="AG217" s="1334"/>
      <c r="AH217" s="1334"/>
      <c r="AI217" s="1333"/>
      <c r="AJ217" s="1334"/>
      <c r="AK217" s="1334"/>
      <c r="AL217" s="1334"/>
      <c r="AM217" s="1334"/>
      <c r="AN217" s="455"/>
      <c r="AO217" s="455"/>
      <c r="AP217" s="455"/>
    </row>
    <row r="218" spans="1:42" ht="14.1" customHeight="1">
      <c r="A218" s="116"/>
      <c r="B218" s="104"/>
      <c r="C218" s="138" t="str">
        <f>bedroom_type1</f>
        <v>SRO</v>
      </c>
      <c r="D218" s="1048">
        <f>IF($C$218&lt;&gt;"",50*ROUND(VLOOKUP($C$218,peoplefactor,3)*D217*$E$224/50,"N/A"),0)</f>
        <v>32950</v>
      </c>
      <c r="E218" s="1048">
        <f>IF($C$218&lt;&gt;"",50*ROUND(VLOOKUP($C$218,peoplefactor,3)*E217*$E$224/50,"N/A"),0)</f>
        <v>39500</v>
      </c>
      <c r="F218" s="1048">
        <f>IF($C$218&lt;&gt;"",50*ROUND(VLOOKUP($C$218,peoplefactor,3)*F217*$E$224/50,"N/A"),0)</f>
        <v>0</v>
      </c>
      <c r="G218" s="1134">
        <f t="shared" ref="G218:G223" si="15">IF(C218&lt;&gt;"",(D218*0.3)/12,"N/A")</f>
        <v>823.75</v>
      </c>
      <c r="H218" s="1134">
        <f t="shared" ref="H218:H223" si="16">IF(C218&lt;&gt;"",(E218*0.3)/12,"N/A")</f>
        <v>987.5</v>
      </c>
      <c r="I218" s="1134">
        <f t="shared" ref="I218:I223" si="17">IF(C218&lt;&gt;"",(F218*0.3)/12,"N/A")</f>
        <v>0</v>
      </c>
      <c r="J218" s="156"/>
      <c r="R218" s="500"/>
      <c r="S218" s="500"/>
      <c r="T218" s="502"/>
      <c r="U218" s="500"/>
      <c r="V218" s="500"/>
      <c r="W218" s="500"/>
      <c r="X218" s="501"/>
      <c r="Y218" s="501"/>
      <c r="Z218" s="501"/>
      <c r="AA218" s="501"/>
      <c r="AB218" s="501"/>
      <c r="AC218" s="500"/>
      <c r="AD218" s="500"/>
      <c r="AE218" s="500"/>
      <c r="AF218" s="500"/>
      <c r="AG218" s="500"/>
      <c r="AH218" s="500"/>
      <c r="AI218" s="500"/>
      <c r="AJ218" s="500"/>
      <c r="AK218" s="500"/>
      <c r="AL218" s="500"/>
      <c r="AM218" s="500"/>
      <c r="AN218" s="455"/>
      <c r="AO218" s="455"/>
      <c r="AP218" s="455"/>
    </row>
    <row r="219" spans="1:42" ht="14.1" customHeight="1">
      <c r="A219" s="116"/>
      <c r="B219" s="104"/>
      <c r="C219" s="138" t="str">
        <f>bedroom_type2</f>
        <v>0 bedroom</v>
      </c>
      <c r="D219" s="1048">
        <f>IF($C$219&lt;&gt;"",50*ROUND(VLOOKUP($C$219,peoplefactor,3)*D217*$E$224/50,"N/A"),0)</f>
        <v>32950</v>
      </c>
      <c r="E219" s="1048">
        <f>IF($C$219&lt;&gt;"",50*ROUND(VLOOKUP($C$219,peoplefactor,3)*E217*$E$224/50,"N/A"),0)</f>
        <v>39500</v>
      </c>
      <c r="F219" s="1048">
        <f>IF($C$219&lt;&gt;"",50*ROUND(VLOOKUP($C$219,peoplefactor,3)*F217*$E$224/50,"N/A"),0)</f>
        <v>0</v>
      </c>
      <c r="G219" s="1134">
        <f t="shared" si="15"/>
        <v>823.75</v>
      </c>
      <c r="H219" s="1134">
        <f t="shared" si="16"/>
        <v>987.5</v>
      </c>
      <c r="I219" s="1134">
        <f t="shared" si="17"/>
        <v>0</v>
      </c>
      <c r="J219" s="156"/>
      <c r="R219" s="500"/>
      <c r="S219" s="500"/>
      <c r="T219" s="500"/>
      <c r="U219" s="500"/>
      <c r="V219" s="500"/>
      <c r="W219" s="500"/>
      <c r="X219" s="501"/>
      <c r="Y219" s="501"/>
      <c r="Z219" s="501"/>
      <c r="AA219" s="501"/>
      <c r="AB219" s="501"/>
      <c r="AC219" s="500"/>
      <c r="AD219" s="500"/>
      <c r="AE219" s="500"/>
      <c r="AF219" s="500"/>
      <c r="AG219" s="500"/>
      <c r="AH219" s="500"/>
      <c r="AI219" s="500"/>
      <c r="AJ219" s="500"/>
      <c r="AK219" s="500"/>
      <c r="AL219" s="500"/>
      <c r="AM219" s="500"/>
      <c r="AN219" s="455"/>
      <c r="AO219" s="455"/>
      <c r="AP219" s="455"/>
    </row>
    <row r="220" spans="1:42" ht="14.1" customHeight="1">
      <c r="A220" s="116"/>
      <c r="B220" s="104"/>
      <c r="C220" s="138" t="str">
        <f>bedroom_type3</f>
        <v>1 bedroom</v>
      </c>
      <c r="D220" s="1048">
        <f>IF($C$220&lt;&gt;"",50*ROUND(VLOOKUP($C$220,peoplefactor,3)*D217*$E$224/50,"N/A"),0)</f>
        <v>35300</v>
      </c>
      <c r="E220" s="1048">
        <f>IF($C$220&lt;&gt;"",50*ROUND(VLOOKUP($C$220,peoplefactor,3)*E217*$E$224/50,"N/A"),0)</f>
        <v>42350</v>
      </c>
      <c r="F220" s="1048">
        <f>IF($C$220&lt;&gt;"",50*ROUND(VLOOKUP($C$220,peoplefactor,3)*F217*$E$224/50,"N/A"),0)</f>
        <v>0</v>
      </c>
      <c r="G220" s="1134">
        <f t="shared" si="15"/>
        <v>882.5</v>
      </c>
      <c r="H220" s="1134">
        <f t="shared" si="16"/>
        <v>1058.75</v>
      </c>
      <c r="I220" s="1134">
        <f t="shared" si="17"/>
        <v>0</v>
      </c>
      <c r="J220" s="156"/>
      <c r="R220" s="500"/>
      <c r="S220" s="500"/>
      <c r="T220" s="500"/>
      <c r="U220" s="500"/>
      <c r="V220" s="500"/>
      <c r="W220" s="500"/>
      <c r="X220" s="501"/>
      <c r="Y220" s="501"/>
      <c r="Z220" s="501"/>
      <c r="AA220" s="501"/>
      <c r="AB220" s="501"/>
      <c r="AC220" s="500"/>
      <c r="AD220" s="500"/>
      <c r="AE220" s="500"/>
      <c r="AF220" s="500"/>
      <c r="AG220" s="500"/>
      <c r="AH220" s="500"/>
      <c r="AI220" s="500"/>
      <c r="AJ220" s="500"/>
      <c r="AK220" s="500"/>
      <c r="AL220" s="500"/>
      <c r="AM220" s="500"/>
      <c r="AN220" s="455"/>
      <c r="AO220" s="455"/>
      <c r="AP220" s="455"/>
    </row>
    <row r="221" spans="1:42" ht="14.1" customHeight="1">
      <c r="A221" s="116"/>
      <c r="B221" s="104"/>
      <c r="C221" s="138" t="str">
        <f>bedroom_type4</f>
        <v>2 bedrooms</v>
      </c>
      <c r="D221" s="1048">
        <f>IF($C$221&lt;&gt;"",50*ROUND(VLOOKUP($C$221,peoplefactor,3)*D217*$E$224/50,"N/A"),0)</f>
        <v>42350</v>
      </c>
      <c r="E221" s="1048">
        <f>IF($C$221&lt;&gt;"",50*ROUND(VLOOKUP($C$221,peoplefactor,3)*E217*$E$224/50,"N/A"),0)</f>
        <v>50800</v>
      </c>
      <c r="F221" s="1048">
        <f>IF($C$221&lt;&gt;"",50*ROUND(VLOOKUP($C$221,peoplefactor,3)*F217*$E$224/50,"N/A"),0)</f>
        <v>0</v>
      </c>
      <c r="G221" s="1134">
        <f t="shared" si="15"/>
        <v>1058.75</v>
      </c>
      <c r="H221" s="1134">
        <f t="shared" si="16"/>
        <v>1270</v>
      </c>
      <c r="I221" s="1134">
        <f t="shared" si="17"/>
        <v>0</v>
      </c>
      <c r="J221" s="156"/>
      <c r="R221" s="500"/>
      <c r="S221" s="500"/>
      <c r="T221" s="500"/>
      <c r="U221" s="500"/>
      <c r="V221" s="500"/>
      <c r="W221" s="500"/>
      <c r="X221" s="501"/>
      <c r="Y221" s="501"/>
      <c r="Z221" s="501"/>
      <c r="AA221" s="501"/>
      <c r="AB221" s="501"/>
      <c r="AC221" s="500"/>
      <c r="AD221" s="500"/>
      <c r="AE221" s="500"/>
      <c r="AF221" s="500"/>
      <c r="AG221" s="500"/>
      <c r="AH221" s="500"/>
      <c r="AI221" s="500"/>
      <c r="AJ221" s="500"/>
      <c r="AK221" s="500"/>
      <c r="AL221" s="500"/>
      <c r="AM221" s="500"/>
      <c r="AN221" s="455"/>
      <c r="AO221" s="455"/>
      <c r="AP221" s="455"/>
    </row>
    <row r="222" spans="1:42" ht="14.1" customHeight="1">
      <c r="A222" s="116"/>
      <c r="B222" s="104"/>
      <c r="C222" s="138" t="str">
        <f>bedroom_type5</f>
        <v>3 bedrooms</v>
      </c>
      <c r="D222" s="1048">
        <f>IF($C$222&lt;&gt;"",50*ROUND(VLOOKUP($C$222,peoplefactor,3)*D217*$E$224/50,"N/A"),0)</f>
        <v>48950</v>
      </c>
      <c r="E222" s="1048">
        <f>IF($C$222&lt;&gt;"",50*ROUND(VLOOKUP($C$222,peoplefactor,3)*E217*$E$224/50,"N/A"),0)</f>
        <v>58700</v>
      </c>
      <c r="F222" s="1048">
        <f>IF($C$222&lt;&gt;"",50*ROUND(VLOOKUP($C$222,peoplefactor,3)*F217*$E$224/50,"N/A"),0)</f>
        <v>0</v>
      </c>
      <c r="G222" s="1134">
        <f t="shared" si="15"/>
        <v>1223.75</v>
      </c>
      <c r="H222" s="1134">
        <f t="shared" si="16"/>
        <v>1467.5</v>
      </c>
      <c r="I222" s="1134">
        <f t="shared" si="17"/>
        <v>0</v>
      </c>
      <c r="J222" s="156"/>
      <c r="R222" s="500"/>
      <c r="S222" s="500"/>
      <c r="T222" s="500"/>
      <c r="U222" s="500"/>
      <c r="V222" s="500"/>
      <c r="W222" s="500"/>
      <c r="X222" s="501"/>
      <c r="Y222" s="501"/>
      <c r="Z222" s="501"/>
      <c r="AA222" s="501"/>
      <c r="AB222" s="501"/>
      <c r="AC222" s="500"/>
      <c r="AD222" s="500"/>
      <c r="AE222" s="500"/>
      <c r="AF222" s="500"/>
      <c r="AG222" s="500"/>
      <c r="AH222" s="500"/>
      <c r="AI222" s="500"/>
      <c r="AJ222" s="500"/>
      <c r="AK222" s="500"/>
      <c r="AL222" s="500"/>
      <c r="AM222" s="500"/>
      <c r="AN222" s="455"/>
      <c r="AO222" s="455"/>
      <c r="AP222" s="455"/>
    </row>
    <row r="223" spans="1:42" ht="14.1" customHeight="1">
      <c r="A223" s="116"/>
      <c r="B223" s="104"/>
      <c r="C223" s="138" t="str">
        <f>bedroom_type6</f>
        <v>4 bedrooms</v>
      </c>
      <c r="D223" s="1048">
        <f>IF($C$223&lt;&gt;"",50*ROUND(VLOOKUP($C$223,peoplefactor,3)*D217*$E$224/50,"N/A"),0)</f>
        <v>54600</v>
      </c>
      <c r="E223" s="1048">
        <f>IF($C$223&lt;&gt;"",50*ROUND(VLOOKUP($C$223,peoplefactor,3)*E217*$E$224/50,"N/A"),0)</f>
        <v>65500</v>
      </c>
      <c r="F223" s="1048">
        <f>IF($C$223&lt;&gt;"",50*ROUND(VLOOKUP($C$223,peoplefactor,3)*F217*$E$224/50,"N/A"),0)</f>
        <v>0</v>
      </c>
      <c r="G223" s="1134">
        <f t="shared" si="15"/>
        <v>1365</v>
      </c>
      <c r="H223" s="1134">
        <f t="shared" si="16"/>
        <v>1637.5</v>
      </c>
      <c r="I223" s="1134">
        <f t="shared" si="17"/>
        <v>0</v>
      </c>
      <c r="J223" s="156"/>
      <c r="R223" s="500"/>
      <c r="S223" s="500"/>
      <c r="T223" s="500"/>
      <c r="U223" s="500"/>
      <c r="V223" s="500"/>
      <c r="W223" s="500"/>
      <c r="X223" s="501"/>
      <c r="Y223" s="501"/>
      <c r="Z223" s="501"/>
      <c r="AA223" s="501"/>
      <c r="AB223" s="501"/>
      <c r="AC223" s="500"/>
      <c r="AD223" s="500"/>
      <c r="AE223" s="500"/>
      <c r="AF223" s="500"/>
      <c r="AG223" s="500"/>
      <c r="AH223" s="500"/>
      <c r="AI223" s="500"/>
      <c r="AJ223" s="500"/>
      <c r="AK223" s="500"/>
      <c r="AL223" s="500"/>
      <c r="AM223" s="500"/>
      <c r="AN223" s="455"/>
      <c r="AO223" s="455"/>
      <c r="AP223" s="455"/>
    </row>
    <row r="224" spans="1:42" ht="12.75" customHeight="1">
      <c r="A224" s="1117"/>
      <c r="C224" s="1320" t="s">
        <v>1319</v>
      </c>
      <c r="D224" s="1321"/>
      <c r="E224" s="839">
        <f>VLOOKUP("Boston-Cambridge-Quincy, MA-NH",SUFFOLK,2)</f>
        <v>94100</v>
      </c>
      <c r="F224" s="138"/>
      <c r="G224" s="138"/>
      <c r="H224" s="138"/>
      <c r="I224" s="138"/>
      <c r="J224" s="156"/>
      <c r="R224" s="500"/>
      <c r="S224" s="500"/>
      <c r="T224" s="500"/>
      <c r="U224" s="500"/>
      <c r="V224" s="500"/>
      <c r="W224" s="500"/>
      <c r="X224" s="501"/>
      <c r="Y224" s="501"/>
      <c r="Z224" s="501"/>
      <c r="AA224" s="501"/>
      <c r="AB224" s="501"/>
      <c r="AC224" s="500"/>
      <c r="AD224" s="500"/>
      <c r="AE224" s="500"/>
      <c r="AF224" s="500"/>
      <c r="AG224" s="500"/>
      <c r="AH224" s="500"/>
      <c r="AI224" s="500"/>
      <c r="AJ224" s="500"/>
      <c r="AK224" s="500"/>
      <c r="AL224" s="500"/>
      <c r="AM224" s="500"/>
      <c r="AN224" s="455"/>
      <c r="AO224" s="455"/>
      <c r="AP224" s="455"/>
    </row>
    <row r="225" spans="1:42" ht="12.75" customHeight="1">
      <c r="A225" s="1117"/>
      <c r="F225" s="138"/>
      <c r="G225" s="138"/>
      <c r="H225" s="138"/>
      <c r="I225" s="138"/>
      <c r="J225" s="156"/>
      <c r="R225" s="500"/>
      <c r="S225" s="500"/>
      <c r="T225" s="500"/>
      <c r="U225" s="500"/>
      <c r="V225" s="500"/>
      <c r="W225" s="500"/>
      <c r="X225" s="501"/>
      <c r="Y225" s="501"/>
      <c r="Z225" s="501"/>
      <c r="AA225" s="501"/>
      <c r="AB225" s="501"/>
      <c r="AC225" s="500"/>
      <c r="AD225" s="500"/>
      <c r="AE225" s="500"/>
      <c r="AF225" s="500"/>
      <c r="AG225" s="500"/>
      <c r="AH225" s="500"/>
      <c r="AI225" s="500"/>
      <c r="AJ225" s="500"/>
      <c r="AK225" s="500"/>
      <c r="AL225" s="500"/>
      <c r="AM225" s="500"/>
      <c r="AN225" s="455"/>
      <c r="AO225" s="455"/>
      <c r="AP225" s="455"/>
    </row>
    <row r="226" spans="1:42" ht="14.1" customHeight="1">
      <c r="A226" s="116">
        <f>A214+1</f>
        <v>308</v>
      </c>
      <c r="B226" s="104" t="s">
        <v>636</v>
      </c>
      <c r="C226" s="144" t="s">
        <v>110</v>
      </c>
      <c r="D226" s="138"/>
      <c r="E226" s="138"/>
      <c r="F226" s="138"/>
      <c r="G226" s="138"/>
      <c r="H226" s="138"/>
      <c r="I226" s="138"/>
      <c r="J226" s="156"/>
      <c r="R226" s="500"/>
      <c r="S226" s="500"/>
      <c r="T226" s="500"/>
      <c r="U226" s="500"/>
      <c r="V226" s="500"/>
      <c r="W226" s="500"/>
      <c r="X226" s="501"/>
      <c r="Y226" s="501"/>
      <c r="Z226" s="501"/>
      <c r="AA226" s="501"/>
      <c r="AB226" s="501"/>
      <c r="AC226" s="500"/>
      <c r="AD226" s="500"/>
      <c r="AE226" s="500"/>
      <c r="AF226" s="500"/>
      <c r="AG226" s="500"/>
      <c r="AH226" s="500"/>
      <c r="AI226" s="500"/>
      <c r="AJ226" s="500"/>
      <c r="AK226" s="500"/>
      <c r="AL226" s="500"/>
      <c r="AM226" s="500"/>
      <c r="AN226" s="455"/>
      <c r="AO226" s="455"/>
      <c r="AP226" s="455"/>
    </row>
    <row r="227" spans="1:42" ht="14.1" customHeight="1">
      <c r="A227" s="116"/>
      <c r="B227" s="104"/>
      <c r="C227" s="138"/>
      <c r="D227" s="1044" t="s">
        <v>108</v>
      </c>
      <c r="E227" s="839">
        <f>IF($F$212&lt;&gt;"(NONMETROPOLITAN AREA)",VLOOKUP($F$212,metrofmr,2),VLOOKUP($D$212,nonmetrofmr,2))</f>
        <v>1071</v>
      </c>
      <c r="F227" s="503"/>
      <c r="G227" s="138"/>
      <c r="H227" s="138"/>
      <c r="I227" s="138"/>
      <c r="J227" s="156"/>
      <c r="R227" s="500"/>
      <c r="S227" s="500"/>
      <c r="T227" s="500"/>
      <c r="U227" s="500"/>
      <c r="V227" s="500"/>
      <c r="W227" s="500"/>
      <c r="X227" s="501"/>
      <c r="Y227" s="501"/>
      <c r="Z227" s="501"/>
      <c r="AA227" s="501"/>
      <c r="AB227" s="501"/>
      <c r="AC227" s="500"/>
      <c r="AD227" s="500"/>
      <c r="AE227" s="500"/>
      <c r="AF227" s="500"/>
      <c r="AG227" s="500"/>
      <c r="AH227" s="500"/>
      <c r="AI227" s="500"/>
      <c r="AJ227" s="500"/>
      <c r="AK227" s="500"/>
      <c r="AL227" s="500"/>
      <c r="AM227" s="500"/>
      <c r="AN227" s="455"/>
      <c r="AO227" s="455"/>
      <c r="AP227" s="455"/>
    </row>
    <row r="228" spans="1:42" ht="14.1" customHeight="1">
      <c r="A228" s="116"/>
      <c r="B228" s="104"/>
      <c r="C228" s="138"/>
      <c r="D228" s="1044" t="s">
        <v>109</v>
      </c>
      <c r="E228" s="839">
        <f>IF($F$212&lt;&gt;"(NONMETROPOLITAN AREA)",VLOOKUP($F$212,metrofmr,3),VLOOKUP($D$212,nonmetrofmr,3))</f>
        <v>1196</v>
      </c>
      <c r="F228" s="138"/>
      <c r="G228" s="138"/>
      <c r="H228" s="138"/>
      <c r="I228" s="138"/>
      <c r="J228" s="156"/>
      <c r="R228" s="500"/>
      <c r="S228" s="500"/>
      <c r="T228" s="500"/>
      <c r="U228" s="500"/>
      <c r="V228" s="500"/>
      <c r="W228" s="500"/>
      <c r="X228" s="501"/>
      <c r="Y228" s="501"/>
      <c r="Z228" s="501"/>
      <c r="AA228" s="501"/>
      <c r="AB228" s="501"/>
      <c r="AC228" s="500"/>
      <c r="AD228" s="500"/>
      <c r="AE228" s="500"/>
      <c r="AF228" s="500"/>
      <c r="AG228" s="500"/>
      <c r="AH228" s="500"/>
      <c r="AI228" s="500"/>
      <c r="AJ228" s="500"/>
      <c r="AK228" s="500"/>
      <c r="AL228" s="500"/>
      <c r="AM228" s="500"/>
      <c r="AN228" s="455"/>
      <c r="AO228" s="455"/>
      <c r="AP228" s="455"/>
    </row>
    <row r="229" spans="1:42" ht="14.1" customHeight="1">
      <c r="A229" s="116"/>
      <c r="B229" s="104"/>
      <c r="C229" s="138"/>
      <c r="D229" s="1044" t="s">
        <v>1321</v>
      </c>
      <c r="E229" s="839">
        <f>IF($F$212&lt;&gt;"(NONMETROPOLITAN AREA)",VLOOKUP($F$212,metrofmr,4),VLOOKUP($D$212,nonmetrofmr,4))</f>
        <v>1494</v>
      </c>
      <c r="F229" s="138"/>
      <c r="G229" s="138"/>
      <c r="H229" s="138"/>
      <c r="I229" s="138"/>
      <c r="J229" s="156"/>
      <c r="R229" s="500"/>
      <c r="S229" s="500"/>
      <c r="T229" s="500"/>
      <c r="U229" s="500"/>
      <c r="V229" s="500"/>
      <c r="W229" s="500"/>
      <c r="X229" s="501"/>
      <c r="Y229" s="501"/>
      <c r="Z229" s="501"/>
      <c r="AA229" s="501"/>
      <c r="AB229" s="501"/>
      <c r="AC229" s="500"/>
      <c r="AD229" s="500"/>
      <c r="AE229" s="500"/>
      <c r="AF229" s="500"/>
      <c r="AG229" s="500"/>
      <c r="AH229" s="500"/>
      <c r="AI229" s="500"/>
      <c r="AJ229" s="500"/>
      <c r="AK229" s="500"/>
      <c r="AL229" s="500"/>
      <c r="AM229" s="500"/>
      <c r="AN229" s="455"/>
      <c r="AO229" s="455"/>
      <c r="AP229" s="455"/>
    </row>
    <row r="230" spans="1:42" ht="14.1" customHeight="1">
      <c r="A230" s="116"/>
      <c r="B230" s="104"/>
      <c r="C230" s="138"/>
      <c r="D230" s="1044" t="s">
        <v>1322</v>
      </c>
      <c r="E230" s="839">
        <f>IF($F$212&lt;&gt;"(NONMETROPOLITAN AREA)",VLOOKUP($F$212,metrofmr,5),VLOOKUP($D$212,nonmetrofmr,5))</f>
        <v>1861</v>
      </c>
      <c r="F230" s="138"/>
      <c r="G230" s="138"/>
      <c r="H230" s="138"/>
      <c r="I230" s="138"/>
      <c r="J230" s="156"/>
      <c r="R230" s="500"/>
      <c r="S230" s="500"/>
      <c r="T230" s="500"/>
      <c r="U230" s="500"/>
      <c r="V230" s="500"/>
      <c r="W230" s="500"/>
      <c r="X230" s="501"/>
      <c r="Y230" s="501"/>
      <c r="Z230" s="501"/>
      <c r="AA230" s="501"/>
      <c r="AB230" s="501"/>
      <c r="AC230" s="500"/>
      <c r="AD230" s="500"/>
      <c r="AE230" s="500"/>
      <c r="AF230" s="500"/>
      <c r="AG230" s="500"/>
      <c r="AH230" s="500"/>
      <c r="AI230" s="500"/>
      <c r="AJ230" s="500"/>
      <c r="AK230" s="500"/>
      <c r="AL230" s="500"/>
      <c r="AM230" s="500"/>
      <c r="AN230" s="455"/>
      <c r="AO230" s="455"/>
      <c r="AP230" s="455"/>
    </row>
    <row r="231" spans="1:42" s="85" customFormat="1" ht="12.75" customHeight="1">
      <c r="A231" s="116"/>
      <c r="B231" s="104"/>
      <c r="C231" s="138"/>
      <c r="D231" s="1044" t="s">
        <v>1323</v>
      </c>
      <c r="E231" s="839">
        <f>IF($F$212&lt;&gt;"(NONMETROPOLITAN AREA)",VLOOKUP($F$212,metrofmr,6),VLOOKUP($D$212,nonmetrofmr,6))</f>
        <v>2023</v>
      </c>
      <c r="F231" s="138"/>
      <c r="G231" s="138"/>
      <c r="H231" s="138"/>
      <c r="I231" s="138"/>
      <c r="J231" s="83"/>
      <c r="K231" s="103"/>
      <c r="L231" s="103"/>
      <c r="M231" s="103"/>
      <c r="N231" s="103"/>
      <c r="R231" s="500"/>
      <c r="S231" s="500"/>
      <c r="T231" s="500"/>
      <c r="U231" s="500"/>
      <c r="V231" s="500"/>
      <c r="W231" s="500"/>
      <c r="X231" s="501"/>
      <c r="Y231" s="501"/>
      <c r="Z231" s="501"/>
      <c r="AA231" s="501"/>
      <c r="AB231" s="501"/>
      <c r="AC231" s="500"/>
      <c r="AD231" s="500"/>
      <c r="AE231" s="500"/>
      <c r="AF231" s="500"/>
      <c r="AG231" s="500"/>
      <c r="AH231" s="500"/>
      <c r="AI231" s="500"/>
      <c r="AJ231" s="500"/>
      <c r="AK231" s="500"/>
      <c r="AL231" s="500"/>
      <c r="AM231" s="500"/>
      <c r="AN231" s="504"/>
      <c r="AO231" s="504"/>
      <c r="AP231" s="504"/>
    </row>
    <row r="232" spans="1:42" s="85" customFormat="1" ht="14.1" customHeight="1">
      <c r="A232" s="116"/>
      <c r="B232" s="104"/>
      <c r="C232" s="138"/>
      <c r="D232" s="1044" t="s">
        <v>1324</v>
      </c>
      <c r="E232" s="839">
        <f>E231*1.15</f>
        <v>2326.4499999999998</v>
      </c>
      <c r="F232" s="505"/>
      <c r="H232" s="497" t="s">
        <v>1058</v>
      </c>
      <c r="I232" s="538">
        <f>DATE(2015,1,29)</f>
        <v>42033</v>
      </c>
      <c r="J232" s="83"/>
      <c r="K232" s="103"/>
      <c r="L232" s="103"/>
      <c r="M232" s="103"/>
      <c r="N232" s="103"/>
      <c r="R232" s="500"/>
      <c r="S232" s="500"/>
      <c r="T232" s="500"/>
      <c r="U232" s="500"/>
      <c r="V232" s="500"/>
      <c r="W232" s="500"/>
      <c r="X232" s="501"/>
      <c r="Y232" s="501"/>
      <c r="Z232" s="501"/>
      <c r="AA232" s="501"/>
      <c r="AB232" s="501"/>
      <c r="AC232" s="500"/>
      <c r="AD232" s="500"/>
      <c r="AE232" s="500"/>
      <c r="AF232" s="500"/>
      <c r="AG232" s="500"/>
      <c r="AH232" s="500"/>
      <c r="AI232" s="500"/>
      <c r="AJ232" s="500"/>
      <c r="AK232" s="500"/>
      <c r="AL232" s="500"/>
      <c r="AM232" s="500"/>
      <c r="AN232" s="504"/>
      <c r="AO232" s="504"/>
      <c r="AP232" s="504"/>
    </row>
    <row r="233" spans="1:42" s="85" customFormat="1" ht="12.75" customHeight="1" thickBot="1">
      <c r="A233" s="209"/>
      <c r="B233" s="133"/>
      <c r="C233" s="133"/>
      <c r="D233" s="133"/>
      <c r="E233" s="133"/>
      <c r="F233" s="133"/>
      <c r="G233" s="133"/>
      <c r="H233" s="133"/>
      <c r="I233" s="133"/>
      <c r="J233" s="135"/>
      <c r="K233" s="103"/>
      <c r="L233" s="103"/>
      <c r="M233" s="103"/>
      <c r="N233" s="103"/>
      <c r="R233" s="500"/>
      <c r="S233" s="500"/>
      <c r="T233" s="500"/>
      <c r="U233" s="500"/>
      <c r="V233" s="500"/>
      <c r="W233" s="500"/>
      <c r="X233" s="501"/>
      <c r="Y233" s="501"/>
      <c r="Z233" s="501"/>
      <c r="AA233" s="501"/>
      <c r="AB233" s="501"/>
      <c r="AC233" s="500"/>
      <c r="AD233" s="500"/>
      <c r="AE233" s="500"/>
      <c r="AF233" s="500"/>
      <c r="AG233" s="500"/>
      <c r="AH233" s="500"/>
      <c r="AI233" s="500"/>
      <c r="AJ233" s="500"/>
      <c r="AK233" s="500"/>
      <c r="AL233" s="500"/>
      <c r="AM233" s="500"/>
      <c r="AN233" s="504"/>
      <c r="AO233" s="504"/>
      <c r="AP233" s="504"/>
    </row>
    <row r="234" spans="1:42" ht="12.75" customHeight="1">
      <c r="A234" s="104"/>
      <c r="B234" s="104"/>
      <c r="C234" s="139">
        <f>PROJNAME</f>
        <v>0</v>
      </c>
      <c r="D234" s="252"/>
      <c r="E234" s="252"/>
      <c r="F234" s="252"/>
      <c r="G234" s="252"/>
      <c r="H234" s="137" t="e">
        <f>$H$53</f>
        <v>#VALUE!</v>
      </c>
      <c r="I234" s="1280" t="e">
        <f>$I$53</f>
        <v>#VALUE!</v>
      </c>
      <c r="J234" s="1280"/>
      <c r="R234" s="500"/>
      <c r="S234" s="500"/>
      <c r="T234" s="500"/>
      <c r="U234" s="500"/>
      <c r="V234" s="500"/>
      <c r="W234" s="500"/>
      <c r="X234" s="501"/>
      <c r="Y234" s="501"/>
      <c r="Z234" s="501"/>
      <c r="AA234" s="501"/>
      <c r="AB234" s="501"/>
      <c r="AC234" s="500"/>
      <c r="AD234" s="500"/>
      <c r="AE234" s="500"/>
      <c r="AF234" s="500"/>
      <c r="AG234" s="500"/>
      <c r="AH234" s="500"/>
      <c r="AI234" s="500"/>
      <c r="AJ234" s="500"/>
      <c r="AK234" s="500"/>
      <c r="AL234" s="500"/>
      <c r="AM234" s="500"/>
      <c r="AN234" s="455"/>
      <c r="AO234" s="455"/>
      <c r="AP234" s="455"/>
    </row>
    <row r="235" spans="1:42" ht="12.75" customHeight="1" thickBot="1">
      <c r="A235" s="139" t="str">
        <f>A54</f>
        <v>Section 4.  Operating Pro-Forma</v>
      </c>
      <c r="B235" s="138"/>
      <c r="C235" s="139"/>
      <c r="D235" s="138"/>
      <c r="E235" s="138"/>
      <c r="F235" s="138"/>
      <c r="G235" s="138"/>
      <c r="H235" s="138"/>
      <c r="I235" s="139" t="s">
        <v>805</v>
      </c>
      <c r="J235" s="133"/>
      <c r="R235" s="500"/>
      <c r="S235" s="500"/>
      <c r="T235" s="500"/>
      <c r="U235" s="500"/>
      <c r="V235" s="500"/>
      <c r="W235" s="500"/>
      <c r="X235" s="501"/>
      <c r="Y235" s="501"/>
      <c r="Z235" s="501"/>
      <c r="AA235" s="501"/>
      <c r="AB235" s="501"/>
      <c r="AC235" s="500"/>
      <c r="AD235" s="500"/>
      <c r="AE235" s="500"/>
      <c r="AF235" s="500"/>
      <c r="AG235" s="500"/>
      <c r="AH235" s="500"/>
      <c r="AI235" s="500"/>
      <c r="AJ235" s="500"/>
      <c r="AK235" s="500"/>
      <c r="AL235" s="500"/>
      <c r="AM235" s="500"/>
      <c r="AN235" s="455"/>
      <c r="AO235" s="455"/>
      <c r="AP235" s="455"/>
    </row>
    <row r="236" spans="1:42" ht="12.75" customHeight="1">
      <c r="A236" s="246"/>
      <c r="B236" s="141"/>
      <c r="C236" s="506"/>
      <c r="D236" s="142"/>
      <c r="E236" s="142"/>
      <c r="F236" s="142"/>
      <c r="G236" s="142"/>
      <c r="H236" s="142"/>
      <c r="I236" s="142"/>
      <c r="J236" s="83"/>
      <c r="R236" s="500"/>
      <c r="S236" s="500"/>
      <c r="T236" s="500"/>
      <c r="U236" s="500"/>
      <c r="V236" s="500"/>
      <c r="W236" s="500"/>
      <c r="X236" s="501"/>
      <c r="Y236" s="501"/>
      <c r="Z236" s="501"/>
      <c r="AA236" s="501"/>
      <c r="AB236" s="501"/>
      <c r="AC236" s="500"/>
      <c r="AD236" s="500"/>
      <c r="AE236" s="500"/>
      <c r="AF236" s="500"/>
      <c r="AG236" s="500"/>
      <c r="AH236" s="500"/>
      <c r="AI236" s="500"/>
      <c r="AJ236" s="500"/>
      <c r="AK236" s="500"/>
      <c r="AL236" s="500"/>
      <c r="AM236" s="500"/>
      <c r="AN236" s="455"/>
      <c r="AO236" s="455"/>
      <c r="AP236" s="455"/>
    </row>
    <row r="237" spans="1:42" ht="12.75" customHeight="1">
      <c r="A237" s="507"/>
      <c r="B237" s="52"/>
      <c r="C237" s="508" t="s">
        <v>1157</v>
      </c>
      <c r="D237" s="509"/>
      <c r="E237" s="509"/>
      <c r="F237" s="510"/>
      <c r="G237" s="511" t="s">
        <v>1158</v>
      </c>
      <c r="H237" s="512"/>
      <c r="I237" s="513"/>
      <c r="J237" s="106"/>
      <c r="R237" s="455"/>
      <c r="S237" s="455"/>
      <c r="T237" s="455"/>
      <c r="U237" s="455"/>
      <c r="V237" s="455"/>
      <c r="W237" s="455"/>
      <c r="X237" s="455"/>
      <c r="Y237" s="455"/>
      <c r="Z237" s="455"/>
      <c r="AA237" s="455"/>
      <c r="AB237" s="455"/>
      <c r="AC237" s="500"/>
      <c r="AD237" s="500"/>
      <c r="AE237" s="500"/>
      <c r="AF237" s="500"/>
      <c r="AG237" s="500"/>
      <c r="AH237" s="500"/>
      <c r="AI237" s="500"/>
      <c r="AJ237" s="500"/>
      <c r="AK237" s="500"/>
      <c r="AL237" s="500"/>
      <c r="AM237" s="500"/>
      <c r="AN237" s="455"/>
      <c r="AO237" s="455"/>
      <c r="AP237" s="455"/>
    </row>
    <row r="238" spans="1:42" ht="12.75" customHeight="1">
      <c r="A238" s="161"/>
      <c r="B238" s="52"/>
      <c r="C238" s="99"/>
      <c r="D238" s="509"/>
      <c r="E238" s="513" t="s">
        <v>808</v>
      </c>
      <c r="F238" s="514" t="s">
        <v>1036</v>
      </c>
      <c r="G238" s="513"/>
      <c r="H238" s="513" t="s">
        <v>1155</v>
      </c>
      <c r="I238" s="176" t="s">
        <v>656</v>
      </c>
      <c r="J238" s="106"/>
      <c r="AC238" s="455"/>
      <c r="AD238" s="455"/>
      <c r="AE238" s="455"/>
      <c r="AF238" s="455"/>
      <c r="AG238" s="455"/>
      <c r="AH238" s="455"/>
      <c r="AI238" s="455"/>
      <c r="AJ238" s="455"/>
      <c r="AK238" s="455"/>
      <c r="AL238" s="455"/>
      <c r="AM238" s="455"/>
      <c r="AN238" s="455"/>
    </row>
    <row r="239" spans="1:42" ht="12.75" customHeight="1">
      <c r="A239" s="161"/>
      <c r="B239" s="52"/>
      <c r="C239" s="509" t="s">
        <v>806</v>
      </c>
      <c r="D239" s="513" t="s">
        <v>807</v>
      </c>
      <c r="E239" s="513" t="s">
        <v>1409</v>
      </c>
      <c r="F239" s="514" t="s">
        <v>1037</v>
      </c>
      <c r="G239" s="513" t="s">
        <v>807</v>
      </c>
      <c r="H239" s="513" t="s">
        <v>1156</v>
      </c>
      <c r="I239" s="515" t="s">
        <v>1038</v>
      </c>
      <c r="J239" s="106"/>
    </row>
    <row r="240" spans="1:42" ht="12.75" customHeight="1">
      <c r="A240" s="161">
        <f>A226+1</f>
        <v>309</v>
      </c>
      <c r="B240" s="52" t="s">
        <v>636</v>
      </c>
      <c r="C240" s="516" t="str">
        <f>'1. Description'!C66</f>
        <v>SRO</v>
      </c>
      <c r="D240" s="517">
        <f>'1. Description'!I66</f>
        <v>0</v>
      </c>
      <c r="E240" s="6">
        <v>0</v>
      </c>
      <c r="F240" s="518">
        <f t="shared" ref="F240:F245" si="18">D240*E240*12</f>
        <v>0</v>
      </c>
      <c r="G240" s="48">
        <f>'1. Description'!I66</f>
        <v>0</v>
      </c>
      <c r="H240" s="6">
        <v>0</v>
      </c>
      <c r="I240" s="519">
        <f t="shared" ref="I240:I245" si="19">D240*H240*12</f>
        <v>0</v>
      </c>
      <c r="J240" s="106"/>
    </row>
    <row r="241" spans="1:10" ht="12.75" customHeight="1">
      <c r="A241" s="161">
        <f t="shared" ref="A241:A246" si="20">A240+1</f>
        <v>310</v>
      </c>
      <c r="B241" s="52" t="s">
        <v>636</v>
      </c>
      <c r="C241" s="520" t="str">
        <f>'1. Description'!C67</f>
        <v>0 bedroom</v>
      </c>
      <c r="D241" s="517">
        <f>'1. Description'!I67</f>
        <v>0</v>
      </c>
      <c r="E241" s="6">
        <v>0</v>
      </c>
      <c r="F241" s="518">
        <f t="shared" si="18"/>
        <v>0</v>
      </c>
      <c r="G241" s="48">
        <f>'1. Description'!I67</f>
        <v>0</v>
      </c>
      <c r="H241" s="6">
        <v>0</v>
      </c>
      <c r="I241" s="519">
        <f t="shared" si="19"/>
        <v>0</v>
      </c>
      <c r="J241" s="106"/>
    </row>
    <row r="242" spans="1:10" ht="12.75" customHeight="1">
      <c r="A242" s="161">
        <f t="shared" si="20"/>
        <v>311</v>
      </c>
      <c r="B242" s="52" t="s">
        <v>636</v>
      </c>
      <c r="C242" s="520" t="str">
        <f>'1. Description'!C68</f>
        <v>1 bedroom</v>
      </c>
      <c r="D242" s="517">
        <f>'1. Description'!I68</f>
        <v>0</v>
      </c>
      <c r="E242" s="6">
        <v>0</v>
      </c>
      <c r="F242" s="518">
        <f t="shared" si="18"/>
        <v>0</v>
      </c>
      <c r="G242" s="48">
        <f>'1. Description'!I68</f>
        <v>0</v>
      </c>
      <c r="H242" s="6">
        <v>0</v>
      </c>
      <c r="I242" s="519">
        <f t="shared" si="19"/>
        <v>0</v>
      </c>
      <c r="J242" s="106"/>
    </row>
    <row r="243" spans="1:10" ht="12.75" customHeight="1">
      <c r="A243" s="161">
        <f t="shared" si="20"/>
        <v>312</v>
      </c>
      <c r="B243" s="52" t="s">
        <v>636</v>
      </c>
      <c r="C243" s="520" t="str">
        <f>'1. Description'!C69</f>
        <v>2 bedrooms</v>
      </c>
      <c r="D243" s="517">
        <f>'1. Description'!I69</f>
        <v>0</v>
      </c>
      <c r="E243" s="6">
        <v>0</v>
      </c>
      <c r="F243" s="518">
        <f t="shared" si="18"/>
        <v>0</v>
      </c>
      <c r="G243" s="48">
        <f>'1. Description'!I69</f>
        <v>0</v>
      </c>
      <c r="H243" s="6">
        <v>0</v>
      </c>
      <c r="I243" s="519">
        <f t="shared" si="19"/>
        <v>0</v>
      </c>
      <c r="J243" s="106"/>
    </row>
    <row r="244" spans="1:10" ht="12.75" customHeight="1">
      <c r="A244" s="161">
        <f t="shared" si="20"/>
        <v>313</v>
      </c>
      <c r="B244" s="52" t="s">
        <v>636</v>
      </c>
      <c r="C244" s="520" t="str">
        <f>'1. Description'!C70</f>
        <v>3 bedrooms</v>
      </c>
      <c r="D244" s="517">
        <f>'1. Description'!I70</f>
        <v>0</v>
      </c>
      <c r="E244" s="6">
        <v>0</v>
      </c>
      <c r="F244" s="518">
        <f t="shared" si="18"/>
        <v>0</v>
      </c>
      <c r="G244" s="48">
        <f>'1. Description'!I70</f>
        <v>0</v>
      </c>
      <c r="H244" s="6">
        <v>0</v>
      </c>
      <c r="I244" s="519">
        <f t="shared" si="19"/>
        <v>0</v>
      </c>
      <c r="J244" s="106"/>
    </row>
    <row r="245" spans="1:10" ht="12.75" customHeight="1">
      <c r="A245" s="161">
        <f t="shared" si="20"/>
        <v>314</v>
      </c>
      <c r="B245" s="52" t="s">
        <v>636</v>
      </c>
      <c r="C245" s="520" t="str">
        <f>'1. Description'!C71</f>
        <v>4 bedrooms</v>
      </c>
      <c r="D245" s="517">
        <f>'1. Description'!I71</f>
        <v>0</v>
      </c>
      <c r="E245" s="6">
        <v>0</v>
      </c>
      <c r="F245" s="518">
        <f t="shared" si="18"/>
        <v>0</v>
      </c>
      <c r="G245" s="48">
        <f>'1. Description'!I71</f>
        <v>0</v>
      </c>
      <c r="H245" s="6">
        <v>0</v>
      </c>
      <c r="I245" s="519">
        <f t="shared" si="19"/>
        <v>0</v>
      </c>
      <c r="J245" s="106"/>
    </row>
    <row r="246" spans="1:10" ht="12.75" customHeight="1">
      <c r="A246" s="161">
        <f t="shared" si="20"/>
        <v>315</v>
      </c>
      <c r="B246" s="52" t="s">
        <v>636</v>
      </c>
      <c r="C246" s="521" t="s">
        <v>1039</v>
      </c>
      <c r="D246" s="522"/>
      <c r="E246" s="523"/>
      <c r="F246" s="518">
        <f>SUM(F240:F245)</f>
        <v>0</v>
      </c>
      <c r="G246" s="524"/>
      <c r="H246" s="138"/>
      <c r="I246" s="519">
        <f>SUM(I240:I245)</f>
        <v>0</v>
      </c>
      <c r="J246" s="156"/>
    </row>
    <row r="247" spans="1:10" ht="12.75" customHeight="1">
      <c r="A247" s="161"/>
      <c r="B247" s="52"/>
      <c r="C247" s="521"/>
      <c r="D247" s="523"/>
      <c r="E247" s="523" t="s">
        <v>646</v>
      </c>
      <c r="F247" s="525"/>
      <c r="G247" s="523"/>
      <c r="H247" s="138"/>
      <c r="I247" s="138"/>
      <c r="J247" s="106"/>
    </row>
    <row r="248" spans="1:10" ht="15.75">
      <c r="A248" s="161">
        <f>A246+1</f>
        <v>316</v>
      </c>
      <c r="B248" s="52" t="s">
        <v>636</v>
      </c>
      <c r="C248" s="99" t="s">
        <v>338</v>
      </c>
      <c r="D248" s="522"/>
      <c r="E248" s="20">
        <v>0</v>
      </c>
      <c r="F248" s="519">
        <f>-F246*E248</f>
        <v>0</v>
      </c>
      <c r="G248" s="526" t="s">
        <v>338</v>
      </c>
      <c r="H248" s="527" t="str">
        <f>Output!D52</f>
        <v xml:space="preserve">                            %</v>
      </c>
      <c r="I248" s="519">
        <f>-Output!E52</f>
        <v>0</v>
      </c>
      <c r="J248" s="156"/>
    </row>
    <row r="249" spans="1:10" ht="15">
      <c r="A249" s="161">
        <f>A248+1</f>
        <v>317</v>
      </c>
      <c r="B249" s="52" t="s">
        <v>636</v>
      </c>
      <c r="C249" s="99" t="s">
        <v>655</v>
      </c>
      <c r="D249" s="528"/>
      <c r="E249" s="87"/>
      <c r="F249" s="6">
        <v>0</v>
      </c>
      <c r="G249" s="526" t="s">
        <v>655</v>
      </c>
      <c r="H249" s="87"/>
      <c r="I249" s="519">
        <f>Output!E53</f>
        <v>0</v>
      </c>
      <c r="J249" s="89"/>
    </row>
    <row r="250" spans="1:10" ht="15.75" customHeight="1">
      <c r="A250" s="161">
        <f>A249+1</f>
        <v>318</v>
      </c>
      <c r="B250" s="52" t="s">
        <v>636</v>
      </c>
      <c r="C250" s="99" t="s">
        <v>1040</v>
      </c>
      <c r="D250" s="509"/>
      <c r="E250" s="529"/>
      <c r="F250" s="519">
        <f>SUM(F246:F249)</f>
        <v>0</v>
      </c>
      <c r="G250" s="526" t="s">
        <v>1040</v>
      </c>
      <c r="H250" s="529"/>
      <c r="I250" s="519">
        <f>SUM(I246:I249)</f>
        <v>0</v>
      </c>
      <c r="J250" s="106"/>
    </row>
    <row r="251" spans="1:10">
      <c r="A251" s="161"/>
      <c r="B251" s="52"/>
      <c r="C251" s="99"/>
      <c r="D251" s="509"/>
      <c r="E251" s="509"/>
      <c r="F251" s="530"/>
      <c r="G251" s="531"/>
      <c r="H251" s="529"/>
      <c r="I251" s="139"/>
      <c r="J251" s="106"/>
    </row>
    <row r="252" spans="1:10" ht="15">
      <c r="A252" s="161"/>
      <c r="B252" s="52"/>
      <c r="C252" s="532" t="s">
        <v>51</v>
      </c>
      <c r="D252" s="528"/>
      <c r="E252" s="528"/>
      <c r="F252" s="714" t="s">
        <v>1127</v>
      </c>
      <c r="G252" s="533" t="s">
        <v>1046</v>
      </c>
      <c r="H252" s="534" t="s">
        <v>312</v>
      </c>
      <c r="I252" s="714" t="s">
        <v>1127</v>
      </c>
      <c r="J252" s="106"/>
    </row>
    <row r="253" spans="1:10" ht="15.75" customHeight="1">
      <c r="A253" s="161">
        <f>A250+1</f>
        <v>319</v>
      </c>
      <c r="B253" s="52" t="s">
        <v>636</v>
      </c>
      <c r="C253" s="99" t="s">
        <v>1042</v>
      </c>
      <c r="D253" s="528"/>
      <c r="E253" s="528"/>
      <c r="F253" s="19">
        <v>0</v>
      </c>
      <c r="G253" s="18"/>
      <c r="H253" s="527" t="str">
        <f>IF(F253&lt;&gt;0,(I253-F253)/F253,"")</f>
        <v/>
      </c>
      <c r="I253" s="519">
        <f>E125</f>
        <v>0</v>
      </c>
      <c r="J253" s="106"/>
    </row>
    <row r="254" spans="1:10" ht="15.75" customHeight="1">
      <c r="A254" s="161">
        <f t="shared" ref="A254:A263" si="21">A253+1</f>
        <v>320</v>
      </c>
      <c r="B254" s="52" t="s">
        <v>636</v>
      </c>
      <c r="C254" s="99" t="s">
        <v>1041</v>
      </c>
      <c r="D254" s="528"/>
      <c r="E254" s="528"/>
      <c r="F254" s="19">
        <v>0</v>
      </c>
      <c r="G254" s="18"/>
      <c r="H254" s="527" t="str">
        <f t="shared" ref="H254:H263" si="22">IF(F254&lt;&gt;0,(I254-F254)/F254,"")</f>
        <v/>
      </c>
      <c r="I254" s="519">
        <f>E139</f>
        <v>0</v>
      </c>
      <c r="J254" s="106"/>
    </row>
    <row r="255" spans="1:10" ht="15.75" customHeight="1">
      <c r="A255" s="161">
        <f t="shared" si="21"/>
        <v>321</v>
      </c>
      <c r="B255" s="52" t="s">
        <v>636</v>
      </c>
      <c r="C255" s="99" t="s">
        <v>1043</v>
      </c>
      <c r="D255" s="528"/>
      <c r="E255" s="528"/>
      <c r="F255" s="19">
        <v>0</v>
      </c>
      <c r="G255" s="18"/>
      <c r="H255" s="527" t="str">
        <f t="shared" si="22"/>
        <v/>
      </c>
      <c r="I255" s="519">
        <f>E153</f>
        <v>0</v>
      </c>
      <c r="J255" s="106"/>
    </row>
    <row r="256" spans="1:10" ht="15.75" customHeight="1">
      <c r="A256" s="161">
        <f t="shared" si="21"/>
        <v>322</v>
      </c>
      <c r="B256" s="52" t="s">
        <v>636</v>
      </c>
      <c r="C256" s="99" t="s">
        <v>76</v>
      </c>
      <c r="D256" s="528"/>
      <c r="E256" s="528"/>
      <c r="F256" s="19">
        <v>0</v>
      </c>
      <c r="G256" s="18"/>
      <c r="H256" s="527" t="str">
        <f t="shared" si="22"/>
        <v/>
      </c>
      <c r="I256" s="519">
        <f>E155</f>
        <v>0</v>
      </c>
      <c r="J256" s="106"/>
    </row>
    <row r="257" spans="1:10" ht="15.75" customHeight="1">
      <c r="A257" s="161">
        <f t="shared" si="21"/>
        <v>323</v>
      </c>
      <c r="B257" s="52" t="s">
        <v>636</v>
      </c>
      <c r="C257" s="99" t="s">
        <v>1294</v>
      </c>
      <c r="D257" s="528"/>
      <c r="E257" s="528"/>
      <c r="F257" s="19">
        <v>0</v>
      </c>
      <c r="G257" s="18"/>
      <c r="H257" s="527" t="str">
        <f t="shared" si="22"/>
        <v/>
      </c>
      <c r="I257" s="519">
        <f>E159</f>
        <v>0</v>
      </c>
      <c r="J257" s="106"/>
    </row>
    <row r="258" spans="1:10" ht="15.75" customHeight="1">
      <c r="A258" s="161">
        <f t="shared" si="21"/>
        <v>324</v>
      </c>
      <c r="B258" s="52" t="s">
        <v>636</v>
      </c>
      <c r="C258" s="99" t="s">
        <v>447</v>
      </c>
      <c r="D258" s="528"/>
      <c r="E258" s="523"/>
      <c r="F258" s="19">
        <v>0</v>
      </c>
      <c r="G258" s="18"/>
      <c r="H258" s="527" t="str">
        <f t="shared" si="22"/>
        <v/>
      </c>
      <c r="I258" s="519">
        <f>E165</f>
        <v>0</v>
      </c>
      <c r="J258" s="156"/>
    </row>
    <row r="259" spans="1:10" ht="15.75" customHeight="1">
      <c r="A259" s="161">
        <f t="shared" si="21"/>
        <v>325</v>
      </c>
      <c r="B259" s="52" t="s">
        <v>636</v>
      </c>
      <c r="C259" s="99" t="s">
        <v>81</v>
      </c>
      <c r="D259" s="99"/>
      <c r="E259" s="523"/>
      <c r="F259" s="19">
        <v>0</v>
      </c>
      <c r="G259" s="18"/>
      <c r="H259" s="527" t="str">
        <f t="shared" si="22"/>
        <v/>
      </c>
      <c r="I259" s="519">
        <f>E167</f>
        <v>0</v>
      </c>
      <c r="J259" s="156"/>
    </row>
    <row r="260" spans="1:10" ht="15.75" customHeight="1">
      <c r="A260" s="161">
        <f t="shared" si="21"/>
        <v>326</v>
      </c>
      <c r="B260" s="52" t="s">
        <v>636</v>
      </c>
      <c r="C260" s="99" t="s">
        <v>82</v>
      </c>
      <c r="D260" s="509"/>
      <c r="E260" s="509"/>
      <c r="F260" s="19">
        <v>0</v>
      </c>
      <c r="G260" s="18"/>
      <c r="H260" s="527" t="str">
        <f t="shared" si="22"/>
        <v/>
      </c>
      <c r="I260" s="519">
        <f>E169</f>
        <v>0</v>
      </c>
      <c r="J260" s="156"/>
    </row>
    <row r="261" spans="1:10" ht="15.75" customHeight="1">
      <c r="A261" s="161">
        <f t="shared" si="21"/>
        <v>327</v>
      </c>
      <c r="B261" s="52" t="s">
        <v>636</v>
      </c>
      <c r="C261" s="99" t="s">
        <v>1044</v>
      </c>
      <c r="D261" s="528"/>
      <c r="E261" s="509"/>
      <c r="F261" s="19">
        <v>0</v>
      </c>
      <c r="G261" s="18"/>
      <c r="H261" s="527" t="str">
        <f t="shared" si="22"/>
        <v/>
      </c>
      <c r="I261" s="519">
        <f>E171</f>
        <v>0</v>
      </c>
      <c r="J261" s="106"/>
    </row>
    <row r="262" spans="1:10" ht="15.75" customHeight="1">
      <c r="A262" s="161">
        <f t="shared" si="21"/>
        <v>328</v>
      </c>
      <c r="B262" s="52" t="s">
        <v>636</v>
      </c>
      <c r="C262" s="99" t="s">
        <v>1291</v>
      </c>
      <c r="D262" s="528"/>
      <c r="E262" s="509"/>
      <c r="F262" s="19">
        <v>0</v>
      </c>
      <c r="G262" s="18"/>
      <c r="H262" s="527" t="str">
        <f t="shared" si="22"/>
        <v/>
      </c>
      <c r="I262" s="519">
        <f>E176-E171</f>
        <v>0</v>
      </c>
      <c r="J262" s="106"/>
    </row>
    <row r="263" spans="1:10" ht="15.75" customHeight="1">
      <c r="A263" s="161">
        <f t="shared" si="21"/>
        <v>329</v>
      </c>
      <c r="B263" s="52" t="s">
        <v>636</v>
      </c>
      <c r="C263" s="532" t="s">
        <v>1045</v>
      </c>
      <c r="D263" s="509"/>
      <c r="E263" s="509"/>
      <c r="F263" s="518">
        <f>SUM(F253:F262)</f>
        <v>0</v>
      </c>
      <c r="G263" s="535"/>
      <c r="H263" s="527" t="str">
        <f t="shared" si="22"/>
        <v/>
      </c>
      <c r="I263" s="519">
        <f>SUM(I253:I262)</f>
        <v>0</v>
      </c>
      <c r="J263" s="106"/>
    </row>
    <row r="264" spans="1:10">
      <c r="A264" s="161"/>
      <c r="B264" s="52"/>
      <c r="C264" s="99"/>
      <c r="D264" s="509"/>
      <c r="E264" s="509"/>
      <c r="F264" s="530"/>
      <c r="G264" s="509"/>
      <c r="H264" s="139"/>
      <c r="I264" s="139"/>
      <c r="J264" s="106"/>
    </row>
    <row r="265" spans="1:10" ht="15.75" customHeight="1">
      <c r="A265" s="161">
        <f>A263+1</f>
        <v>330</v>
      </c>
      <c r="B265" s="52" t="s">
        <v>636</v>
      </c>
      <c r="C265" s="532" t="s">
        <v>452</v>
      </c>
      <c r="D265" s="509"/>
      <c r="E265" s="509"/>
      <c r="F265" s="536">
        <f>F250-F263</f>
        <v>0</v>
      </c>
      <c r="G265" s="535" t="s">
        <v>452</v>
      </c>
      <c r="H265" s="139"/>
      <c r="I265" s="536">
        <f>I250-I263</f>
        <v>0</v>
      </c>
      <c r="J265" s="106"/>
    </row>
    <row r="266" spans="1:10">
      <c r="A266" s="161"/>
      <c r="B266" s="52"/>
      <c r="C266" s="99"/>
      <c r="D266" s="509"/>
      <c r="E266" s="509"/>
      <c r="F266" s="509"/>
      <c r="G266" s="509"/>
      <c r="H266" s="509"/>
      <c r="I266" s="509"/>
      <c r="J266" s="106"/>
    </row>
    <row r="267" spans="1:10" ht="15.75">
      <c r="A267" s="161"/>
      <c r="B267" s="52"/>
      <c r="C267" s="138"/>
      <c r="D267" s="139"/>
      <c r="E267" s="139"/>
      <c r="F267" s="139"/>
      <c r="G267" s="139"/>
      <c r="H267" s="139"/>
      <c r="I267" s="139"/>
      <c r="J267" s="156"/>
    </row>
    <row r="268" spans="1:10" ht="15.75">
      <c r="A268" s="161">
        <f>A265+1</f>
        <v>331</v>
      </c>
      <c r="B268" s="52" t="s">
        <v>636</v>
      </c>
      <c r="C268" s="124" t="s">
        <v>1047</v>
      </c>
      <c r="D268" s="87"/>
      <c r="E268" s="125"/>
      <c r="F268" s="528"/>
      <c r="G268" s="528"/>
      <c r="H268" s="87"/>
      <c r="I268" s="87"/>
      <c r="J268" s="156"/>
    </row>
    <row r="269" spans="1:10" ht="15">
      <c r="A269" s="161"/>
      <c r="B269" s="52"/>
      <c r="C269" s="104"/>
      <c r="D269" s="115"/>
      <c r="E269" s="125"/>
      <c r="F269" s="528"/>
      <c r="G269" s="528"/>
      <c r="H269" s="52"/>
      <c r="I269" s="52"/>
      <c r="J269" s="106"/>
    </row>
    <row r="270" spans="1:10" ht="15.75" customHeight="1">
      <c r="A270" s="161"/>
      <c r="B270" s="52"/>
      <c r="C270" s="115"/>
      <c r="D270" s="1190"/>
      <c r="E270" s="1230"/>
      <c r="F270" s="1230"/>
      <c r="G270" s="1230"/>
      <c r="H270" s="1230"/>
      <c r="I270" s="1231"/>
      <c r="J270" s="156"/>
    </row>
    <row r="271" spans="1:10" ht="15.75" customHeight="1">
      <c r="A271" s="161"/>
      <c r="B271" s="163">
        <f>IF(H270&lt;&gt;" ",1,0)</f>
        <v>0</v>
      </c>
      <c r="C271" s="115"/>
      <c r="D271" s="1232"/>
      <c r="E271" s="1233"/>
      <c r="F271" s="1233"/>
      <c r="G271" s="1233"/>
      <c r="H271" s="1233"/>
      <c r="I271" s="1234"/>
      <c r="J271" s="156"/>
    </row>
    <row r="272" spans="1:10" ht="15.75" customHeight="1">
      <c r="A272" s="161"/>
      <c r="B272" s="163"/>
      <c r="C272" s="104"/>
      <c r="D272" s="1232"/>
      <c r="E272" s="1233"/>
      <c r="F272" s="1233"/>
      <c r="G272" s="1233"/>
      <c r="H272" s="1233"/>
      <c r="I272" s="1234"/>
      <c r="J272" s="106"/>
    </row>
    <row r="273" spans="1:10" ht="15.75" customHeight="1">
      <c r="A273" s="161"/>
      <c r="B273" s="163"/>
      <c r="C273" s="104"/>
      <c r="D273" s="1232"/>
      <c r="E273" s="1233"/>
      <c r="F273" s="1233"/>
      <c r="G273" s="1233"/>
      <c r="H273" s="1233"/>
      <c r="I273" s="1234"/>
      <c r="J273" s="106"/>
    </row>
    <row r="274" spans="1:10" ht="15.75" customHeight="1">
      <c r="A274" s="161"/>
      <c r="B274" s="163"/>
      <c r="C274" s="104"/>
      <c r="D274" s="1232"/>
      <c r="E274" s="1233"/>
      <c r="F274" s="1233"/>
      <c r="G274" s="1233"/>
      <c r="H274" s="1233"/>
      <c r="I274" s="1234"/>
      <c r="J274" s="156"/>
    </row>
    <row r="275" spans="1:10" ht="15.75" customHeight="1">
      <c r="A275" s="161"/>
      <c r="B275" s="163">
        <f>IF(H274&lt;&gt;" ",1,0)</f>
        <v>0</v>
      </c>
      <c r="C275" s="104"/>
      <c r="D275" s="1232"/>
      <c r="E275" s="1233"/>
      <c r="F275" s="1233"/>
      <c r="G275" s="1233"/>
      <c r="H275" s="1233"/>
      <c r="I275" s="1234"/>
      <c r="J275" s="106"/>
    </row>
    <row r="276" spans="1:10" ht="15.75" customHeight="1">
      <c r="A276" s="161"/>
      <c r="B276" s="163"/>
      <c r="C276" s="104"/>
      <c r="D276" s="1232"/>
      <c r="E276" s="1233"/>
      <c r="F276" s="1233"/>
      <c r="G276" s="1233"/>
      <c r="H276" s="1233"/>
      <c r="I276" s="1234"/>
      <c r="J276" s="156"/>
    </row>
    <row r="277" spans="1:10" ht="15.75" customHeight="1">
      <c r="A277" s="161"/>
      <c r="B277" s="163"/>
      <c r="C277" s="104"/>
      <c r="D277" s="1235"/>
      <c r="E277" s="1236"/>
      <c r="F277" s="1236"/>
      <c r="G277" s="1236"/>
      <c r="H277" s="1236"/>
      <c r="I277" s="1237"/>
      <c r="J277" s="106"/>
    </row>
    <row r="278" spans="1:10" ht="15.75">
      <c r="A278" s="161"/>
      <c r="B278" s="163">
        <f>IF(H278&lt;&gt;" ",1,0)</f>
        <v>0</v>
      </c>
      <c r="C278" s="52"/>
      <c r="D278" s="52"/>
      <c r="E278" s="52"/>
      <c r="F278" s="138"/>
      <c r="G278" s="138"/>
      <c r="H278" s="138"/>
      <c r="I278" s="138"/>
      <c r="J278" s="106"/>
    </row>
    <row r="279" spans="1:10" ht="16.5" thickBot="1">
      <c r="A279" s="161"/>
      <c r="B279" s="163">
        <f>IF(H279&lt;&gt;" ",1,0)</f>
        <v>0</v>
      </c>
      <c r="C279" s="865" t="s">
        <v>224</v>
      </c>
      <c r="D279" s="52"/>
      <c r="E279" s="52"/>
      <c r="F279" s="138"/>
      <c r="G279" s="138"/>
      <c r="H279" s="138"/>
      <c r="I279" s="138"/>
      <c r="J279" s="106"/>
    </row>
    <row r="280" spans="1:10" ht="13.5" thickTop="1">
      <c r="A280" s="161"/>
      <c r="B280" s="163">
        <f>IF(H280&lt;&gt;" ",1,0)</f>
        <v>0</v>
      </c>
      <c r="C280" s="906"/>
      <c r="D280" s="912"/>
      <c r="E280" s="912"/>
      <c r="F280" s="912"/>
      <c r="G280" s="912"/>
      <c r="H280" s="912"/>
      <c r="I280" s="907"/>
      <c r="J280" s="106"/>
    </row>
    <row r="281" spans="1:10">
      <c r="A281" s="161"/>
      <c r="B281" s="163">
        <f>IF(H281&lt;&gt;" ",1,0)</f>
        <v>0</v>
      </c>
      <c r="C281" s="908"/>
      <c r="D281" s="913"/>
      <c r="E281" s="913"/>
      <c r="F281" s="913"/>
      <c r="G281" s="913"/>
      <c r="H281" s="913"/>
      <c r="I281" s="909"/>
      <c r="J281" s="106"/>
    </row>
    <row r="282" spans="1:10" ht="15.75">
      <c r="A282" s="161"/>
      <c r="B282" s="163"/>
      <c r="C282" s="908"/>
      <c r="D282" s="913"/>
      <c r="E282" s="913"/>
      <c r="F282" s="913"/>
      <c r="G282" s="913"/>
      <c r="H282" s="913"/>
      <c r="I282" s="909"/>
      <c r="J282" s="156"/>
    </row>
    <row r="283" spans="1:10">
      <c r="A283" s="161"/>
      <c r="B283" s="163"/>
      <c r="C283" s="908"/>
      <c r="D283" s="913"/>
      <c r="E283" s="913"/>
      <c r="F283" s="913"/>
      <c r="G283" s="913"/>
      <c r="H283" s="913"/>
      <c r="I283" s="909"/>
      <c r="J283" s="106"/>
    </row>
    <row r="284" spans="1:10">
      <c r="A284" s="161"/>
      <c r="B284" s="163">
        <f>IF(H284&lt;&gt;" ",1,0)</f>
        <v>0</v>
      </c>
      <c r="C284" s="908"/>
      <c r="D284" s="913"/>
      <c r="E284" s="913"/>
      <c r="F284" s="913"/>
      <c r="G284" s="913"/>
      <c r="H284" s="913"/>
      <c r="I284" s="909"/>
      <c r="J284" s="106"/>
    </row>
    <row r="285" spans="1:10">
      <c r="A285" s="161"/>
      <c r="B285" s="163">
        <f>IF(H285&lt;&gt;" ",1,0)</f>
        <v>0</v>
      </c>
      <c r="C285" s="908"/>
      <c r="D285" s="913"/>
      <c r="E285" s="913"/>
      <c r="F285" s="913"/>
      <c r="G285" s="913"/>
      <c r="H285" s="913"/>
      <c r="I285" s="909"/>
      <c r="J285" s="106"/>
    </row>
    <row r="286" spans="1:10" ht="15.75">
      <c r="A286" s="161"/>
      <c r="B286" s="163"/>
      <c r="C286" s="908"/>
      <c r="D286" s="913"/>
      <c r="E286" s="913"/>
      <c r="F286" s="913"/>
      <c r="G286" s="913"/>
      <c r="H286" s="913"/>
      <c r="I286" s="909"/>
      <c r="J286" s="156"/>
    </row>
    <row r="287" spans="1:10" ht="13.5" thickBot="1">
      <c r="A287" s="161"/>
      <c r="B287" s="163">
        <f>IF(H287&lt;&gt;" ",1,0)</f>
        <v>0</v>
      </c>
      <c r="C287" s="910"/>
      <c r="D287" s="914"/>
      <c r="E287" s="914"/>
      <c r="F287" s="914"/>
      <c r="G287" s="914"/>
      <c r="H287" s="914"/>
      <c r="I287" s="911"/>
      <c r="J287" s="106"/>
    </row>
    <row r="288" spans="1:10" ht="17.25" thickTop="1" thickBot="1">
      <c r="A288" s="168"/>
      <c r="B288" s="132"/>
      <c r="C288" s="169"/>
      <c r="D288" s="169"/>
      <c r="E288" s="169"/>
      <c r="F288" s="169"/>
      <c r="G288" s="169"/>
      <c r="H288" s="169"/>
      <c r="I288" s="169"/>
      <c r="J288" s="170"/>
    </row>
    <row r="289" spans="1:10" ht="12">
      <c r="A289" s="64"/>
      <c r="B289" s="64"/>
      <c r="C289" s="67">
        <f>PROJNAME</f>
        <v>0</v>
      </c>
      <c r="D289" s="64"/>
      <c r="E289" s="64"/>
      <c r="F289" s="64"/>
      <c r="G289" s="64"/>
      <c r="H289" s="260" t="e">
        <f>$H$53</f>
        <v>#VALUE!</v>
      </c>
      <c r="I289" s="1280" t="e">
        <f>$I$53</f>
        <v>#VALUE!</v>
      </c>
      <c r="J289" s="1280"/>
    </row>
  </sheetData>
  <mergeCells count="61">
    <mergeCell ref="I289:J289"/>
    <mergeCell ref="I53:J53"/>
    <mergeCell ref="I121:J121"/>
    <mergeCell ref="I180:J180"/>
    <mergeCell ref="I234:J234"/>
    <mergeCell ref="H155:I157"/>
    <mergeCell ref="E90:I90"/>
    <mergeCell ref="E91:I91"/>
    <mergeCell ref="H125:I125"/>
    <mergeCell ref="H92:I92"/>
    <mergeCell ref="H137:I137"/>
    <mergeCell ref="H133:I133"/>
    <mergeCell ref="H134:I134"/>
    <mergeCell ref="H135:I135"/>
    <mergeCell ref="H136:I136"/>
    <mergeCell ref="H127:I127"/>
    <mergeCell ref="D270:I277"/>
    <mergeCell ref="AM15:AQ15"/>
    <mergeCell ref="AC217:AD217"/>
    <mergeCell ref="AE217:AH217"/>
    <mergeCell ref="AI217:AM217"/>
    <mergeCell ref="C137:D137"/>
    <mergeCell ref="C138:D138"/>
    <mergeCell ref="C152:D152"/>
    <mergeCell ref="H131:I131"/>
    <mergeCell ref="H132:I132"/>
    <mergeCell ref="H128:I128"/>
    <mergeCell ref="H129:I129"/>
    <mergeCell ref="H130:I130"/>
    <mergeCell ref="H145:I145"/>
    <mergeCell ref="T216:W216"/>
    <mergeCell ref="X216:AB216"/>
    <mergeCell ref="H159:I159"/>
    <mergeCell ref="H161:I161"/>
    <mergeCell ref="H150:I150"/>
    <mergeCell ref="H151:I151"/>
    <mergeCell ref="H138:I138"/>
    <mergeCell ref="H142:I142"/>
    <mergeCell ref="H143:I143"/>
    <mergeCell ref="H144:I144"/>
    <mergeCell ref="H141:I141"/>
    <mergeCell ref="H146:I146"/>
    <mergeCell ref="D196:E196"/>
    <mergeCell ref="H149:I149"/>
    <mergeCell ref="C175:D175"/>
    <mergeCell ref="H163:I163"/>
    <mergeCell ref="H164:I164"/>
    <mergeCell ref="H167:I167"/>
    <mergeCell ref="H169:I169"/>
    <mergeCell ref="H147:I147"/>
    <mergeCell ref="H148:I148"/>
    <mergeCell ref="D197:E197"/>
    <mergeCell ref="C224:D224"/>
    <mergeCell ref="H152:I152"/>
    <mergeCell ref="H173:I173"/>
    <mergeCell ref="H175:I175"/>
    <mergeCell ref="H174:I174"/>
    <mergeCell ref="H162:I162"/>
    <mergeCell ref="H171:I171"/>
    <mergeCell ref="H172:I172"/>
    <mergeCell ref="C215:G215"/>
  </mergeCells>
  <phoneticPr fontId="140" type="noConversion"/>
  <conditionalFormatting sqref="F16:G21 F32:G37 F40:F45 F24:G29 F8:G13">
    <cfRule type="expression" dxfId="30" priority="1" stopIfTrue="1">
      <formula>$I8&gt;0</formula>
    </cfRule>
  </conditionalFormatting>
  <conditionalFormatting sqref="H8:H13 H16:H21 H24:H29 H32:H37">
    <cfRule type="expression" dxfId="29" priority="2" stopIfTrue="1">
      <formula>$I8&gt;0</formula>
    </cfRule>
  </conditionalFormatting>
  <conditionalFormatting sqref="I8:I13 I16:I21 I24:I29 I32:I37 I40:I45">
    <cfRule type="cellIs" dxfId="28" priority="3" stopIfTrue="1" operator="greaterThan">
      <formula>0</formula>
    </cfRule>
  </conditionalFormatting>
  <conditionalFormatting sqref="F67 F75:I75">
    <cfRule type="expression" dxfId="27" priority="4" stopIfTrue="1">
      <formula>SUM($I$8:$I$13)&gt;0</formula>
    </cfRule>
  </conditionalFormatting>
  <conditionalFormatting sqref="F69">
    <cfRule type="expression" dxfId="26" priority="5" stopIfTrue="1">
      <formula>SUM($I$24:$I$29)&gt;0</formula>
    </cfRule>
  </conditionalFormatting>
  <conditionalFormatting sqref="F68">
    <cfRule type="expression" dxfId="25" priority="6" stopIfTrue="1">
      <formula>SUM($I$16:$I$21)&gt;0</formula>
    </cfRule>
  </conditionalFormatting>
  <conditionalFormatting sqref="F70">
    <cfRule type="expression" dxfId="24" priority="7" stopIfTrue="1">
      <formula>SUM($I$32:$I$37)&gt;0</formula>
    </cfRule>
  </conditionalFormatting>
  <conditionalFormatting sqref="F71">
    <cfRule type="expression" dxfId="23" priority="8" stopIfTrue="1">
      <formula>SUM($I$40:$I$45)&gt;0</formula>
    </cfRule>
  </conditionalFormatting>
  <conditionalFormatting sqref="F72">
    <cfRule type="expression" dxfId="22" priority="9" stopIfTrue="1">
      <formula>SUM($H$48:$H$51)&gt;0</formula>
    </cfRule>
  </conditionalFormatting>
  <conditionalFormatting sqref="G125 G141:G152 G171:G173 G155 G127:G138 G159 G161:G164 G167 G169 G175">
    <cfRule type="expression" dxfId="21" priority="10" stopIfTrue="1">
      <formula>commercial&gt;0</formula>
    </cfRule>
  </conditionalFormatting>
  <conditionalFormatting sqref="C224">
    <cfRule type="expression" dxfId="20" priority="11" stopIfTrue="1">
      <formula>$I$195&lt;&gt;""</formula>
    </cfRule>
  </conditionalFormatting>
  <conditionalFormatting sqref="F59">
    <cfRule type="expression" dxfId="19" priority="12" stopIfTrue="1">
      <formula>$D$59&lt;&gt;""</formula>
    </cfRule>
  </conditionalFormatting>
  <conditionalFormatting sqref="F80:I80">
    <cfRule type="expression" dxfId="18" priority="13" stopIfTrue="1">
      <formula>SUM($H$48:$H$51)&gt;0</formula>
    </cfRule>
  </conditionalFormatting>
  <conditionalFormatting sqref="F81:I81">
    <cfRule type="expression" dxfId="17" priority="14" stopIfTrue="1">
      <formula>$F$57&gt;0</formula>
    </cfRule>
  </conditionalFormatting>
  <conditionalFormatting sqref="F82:I82">
    <cfRule type="expression" dxfId="16" priority="15" stopIfTrue="1">
      <formula>$F$59&gt;0</formula>
    </cfRule>
  </conditionalFormatting>
  <conditionalFormatting sqref="F60">
    <cfRule type="expression" dxfId="15" priority="16" stopIfTrue="1">
      <formula>$D$60&lt;&gt;""</formula>
    </cfRule>
  </conditionalFormatting>
  <conditionalFormatting sqref="F61">
    <cfRule type="expression" dxfId="14" priority="17" stopIfTrue="1">
      <formula>$D$61&lt;&gt;""</formula>
    </cfRule>
  </conditionalFormatting>
  <conditionalFormatting sqref="F62">
    <cfRule type="expression" dxfId="13" priority="18" stopIfTrue="1">
      <formula>$D$62&lt;&gt;""</formula>
    </cfRule>
  </conditionalFormatting>
  <conditionalFormatting sqref="F63">
    <cfRule type="expression" dxfId="12" priority="19" stopIfTrue="1">
      <formula>$D$63&lt;&gt;""</formula>
    </cfRule>
  </conditionalFormatting>
  <conditionalFormatting sqref="F64">
    <cfRule type="expression" dxfId="11" priority="20" stopIfTrue="1">
      <formula>$D$64&lt;&gt;""</formula>
    </cfRule>
  </conditionalFormatting>
  <conditionalFormatting sqref="F83:I83">
    <cfRule type="expression" dxfId="10" priority="21" stopIfTrue="1">
      <formula>$F$60&gt;0</formula>
    </cfRule>
  </conditionalFormatting>
  <conditionalFormatting sqref="F84:I84">
    <cfRule type="expression" dxfId="9" priority="22" stopIfTrue="1">
      <formula>$F$61&gt;0</formula>
    </cfRule>
  </conditionalFormatting>
  <conditionalFormatting sqref="F85:I85">
    <cfRule type="expression" dxfId="8" priority="23" stopIfTrue="1">
      <formula>$F$62&gt;0</formula>
    </cfRule>
  </conditionalFormatting>
  <conditionalFormatting sqref="F86:I86">
    <cfRule type="expression" dxfId="7" priority="24" stopIfTrue="1">
      <formula>$F$63&gt;0</formula>
    </cfRule>
  </conditionalFormatting>
  <conditionalFormatting sqref="F87:I87">
    <cfRule type="expression" dxfId="6" priority="25" stopIfTrue="1">
      <formula>$F$64&gt;0</formula>
    </cfRule>
  </conditionalFormatting>
  <conditionalFormatting sqref="F76:I76">
    <cfRule type="expression" dxfId="5" priority="26" stopIfTrue="1">
      <formula>SUM($I$16:$I$21)&gt;0</formula>
    </cfRule>
  </conditionalFormatting>
  <conditionalFormatting sqref="F77:I77">
    <cfRule type="expression" dxfId="4" priority="27" stopIfTrue="1">
      <formula>SUM($I$24:$I$29)&gt;0</formula>
    </cfRule>
  </conditionalFormatting>
  <conditionalFormatting sqref="F78:I78">
    <cfRule type="expression" dxfId="3" priority="28" stopIfTrue="1">
      <formula>SUM($I$32:$I$37)&gt;0</formula>
    </cfRule>
  </conditionalFormatting>
  <conditionalFormatting sqref="F79:I79">
    <cfRule type="expression" dxfId="2" priority="29" stopIfTrue="1">
      <formula>SUM($I$40:$I$45)&gt;0</formula>
    </cfRule>
  </conditionalFormatting>
  <conditionalFormatting sqref="C213:F213">
    <cfRule type="expression" dxfId="1" priority="30" stopIfTrue="1">
      <formula>ISERR($E$224)</formula>
    </cfRule>
  </conditionalFormatting>
  <printOptions horizontalCentered="1" gridLinesSet="0"/>
  <pageMargins left="7.0000000000000007E-2" right="7.0000000000000007E-2" top="7.0000000000000007E-2" bottom="7.0000000000000007E-2" header="7.0000000000000007E-2" footer="7.0000000000000007E-2"/>
  <pageSetup scale="80" orientation="portrait" blackAndWhite="1" horizontalDpi="300" verticalDpi="300" r:id="rId1"/>
  <headerFooter alignWithMargins="0"/>
  <rowBreaks count="4" manualBreakCount="4">
    <brk id="53" max="9" man="1"/>
    <brk id="121" max="9" man="1"/>
    <brk id="180" max="9" man="1"/>
    <brk id="234" max="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eet6"/>
  <dimension ref="A1:L119"/>
  <sheetViews>
    <sheetView showGridLines="0" zoomScaleNormal="100" workbookViewId="0"/>
  </sheetViews>
  <sheetFormatPr defaultColWidth="9.6640625" defaultRowHeight="12.75"/>
  <cols>
    <col min="1" max="1" width="5.6640625" style="101" customWidth="1"/>
    <col min="2" max="2" width="1.6640625" style="101" customWidth="1"/>
    <col min="3" max="3" width="16.6640625" style="103" customWidth="1"/>
    <col min="4" max="4" width="15.6640625" style="103" customWidth="1"/>
    <col min="5" max="9" width="17.33203125" style="103" customWidth="1"/>
    <col min="10" max="10" width="4" style="103" customWidth="1"/>
    <col min="11" max="11" width="24.6640625" style="103" customWidth="1"/>
    <col min="12" max="16384" width="9.6640625" style="103"/>
  </cols>
  <sheetData>
    <row r="1" spans="1:12" s="85" customFormat="1" ht="12">
      <c r="A1" s="63" t="str">
        <f>'2. Dev. Team'!A1</f>
        <v>One Stop2000 Affordable Housing Finance Application [Version 1.21] ©</v>
      </c>
      <c r="B1" s="80"/>
      <c r="C1" s="80"/>
      <c r="D1" s="80"/>
      <c r="E1" s="80"/>
      <c r="F1" s="80"/>
      <c r="G1" s="80"/>
      <c r="H1" s="80"/>
      <c r="I1" s="119" t="s">
        <v>111</v>
      </c>
      <c r="J1" s="80"/>
    </row>
    <row r="2" spans="1:12" s="70" customFormat="1" ht="26.25">
      <c r="A2" s="68" t="s">
        <v>112</v>
      </c>
      <c r="B2" s="68"/>
      <c r="C2" s="68"/>
      <c r="D2" s="68"/>
      <c r="E2" s="68"/>
      <c r="F2" s="69"/>
      <c r="G2" s="69"/>
      <c r="H2" s="68"/>
      <c r="I2" s="68"/>
      <c r="J2" s="68"/>
    </row>
    <row r="3" spans="1:12" s="70" customFormat="1" ht="26.25">
      <c r="A3" s="69" t="s">
        <v>113</v>
      </c>
      <c r="B3" s="68"/>
      <c r="C3" s="69"/>
      <c r="D3" s="68"/>
      <c r="E3" s="68"/>
      <c r="F3" s="68"/>
      <c r="G3" s="68"/>
      <c r="H3" s="68"/>
      <c r="I3" s="68"/>
      <c r="J3" s="68"/>
    </row>
    <row r="4" spans="1:12" ht="13.5" thickBot="1">
      <c r="A4" s="104"/>
      <c r="B4" s="104"/>
      <c r="C4" s="80"/>
      <c r="D4" s="80"/>
      <c r="E4" s="80"/>
      <c r="F4" s="80"/>
      <c r="G4" s="80"/>
      <c r="H4" s="80"/>
      <c r="I4" s="80"/>
      <c r="J4" s="80"/>
    </row>
    <row r="5" spans="1:12" s="85" customFormat="1">
      <c r="A5" s="198"/>
      <c r="B5" s="540"/>
      <c r="C5" s="199"/>
      <c r="D5" s="199"/>
      <c r="E5" s="199"/>
      <c r="F5" s="199"/>
      <c r="G5" s="199"/>
      <c r="H5" s="199"/>
      <c r="I5" s="541"/>
      <c r="J5" s="542"/>
    </row>
    <row r="6" spans="1:12" ht="15.75">
      <c r="A6" s="116"/>
      <c r="B6" s="104"/>
      <c r="C6" s="144" t="s">
        <v>114</v>
      </c>
      <c r="D6" s="80"/>
      <c r="E6" s="80"/>
      <c r="F6" s="80"/>
      <c r="G6" s="80"/>
      <c r="H6" s="80"/>
      <c r="I6" s="80"/>
      <c r="J6" s="335"/>
    </row>
    <row r="7" spans="1:12" s="85" customFormat="1" ht="11.25">
      <c r="A7" s="79"/>
      <c r="B7" s="80"/>
      <c r="C7" s="80"/>
      <c r="D7" s="80"/>
      <c r="E7" s="80"/>
      <c r="F7" s="80"/>
      <c r="G7" s="80"/>
      <c r="H7" s="80"/>
      <c r="I7" s="80"/>
      <c r="J7" s="83"/>
    </row>
    <row r="8" spans="1:12" s="84" customFormat="1" ht="15">
      <c r="A8" s="116">
        <f>'4. Operating'!A268+1</f>
        <v>332</v>
      </c>
      <c r="B8" s="104" t="s">
        <v>636</v>
      </c>
      <c r="C8" s="87" t="s">
        <v>115</v>
      </c>
      <c r="D8" s="87"/>
      <c r="E8" s="543">
        <f>'1. Description'!D72+'1. Description'!E72+'1. Description'!F72+IF(AND(userdefined_income&lt;=0.6,userdefined_income&gt;0),'1. Description'!G72,0)</f>
        <v>0</v>
      </c>
      <c r="F8" s="313"/>
      <c r="G8" s="87" t="s">
        <v>116</v>
      </c>
      <c r="H8" s="543">
        <f>'1. Description'!I72</f>
        <v>0</v>
      </c>
      <c r="I8" s="80"/>
      <c r="J8" s="89"/>
      <c r="K8" s="103"/>
      <c r="L8" s="103"/>
    </row>
    <row r="9" spans="1:12" s="84" customFormat="1" ht="15">
      <c r="A9" s="116">
        <f>A8+1</f>
        <v>333</v>
      </c>
      <c r="B9" s="104" t="s">
        <v>636</v>
      </c>
      <c r="C9" s="87" t="s">
        <v>117</v>
      </c>
      <c r="D9" s="87"/>
      <c r="E9" s="549">
        <f>IF(H8&gt;0,E8/H8,0)</f>
        <v>0</v>
      </c>
      <c r="F9" s="87"/>
      <c r="G9" s="87"/>
      <c r="H9" s="87"/>
      <c r="I9" s="87"/>
      <c r="J9" s="89"/>
    </row>
    <row r="10" spans="1:12" s="85" customFormat="1" ht="11.25">
      <c r="A10" s="79"/>
      <c r="B10" s="80"/>
      <c r="C10" s="80"/>
      <c r="D10" s="80"/>
      <c r="E10" s="80"/>
      <c r="F10" s="80"/>
      <c r="G10" s="80"/>
      <c r="H10" s="80"/>
      <c r="I10" s="80"/>
      <c r="J10" s="83"/>
    </row>
    <row r="11" spans="1:12" s="84" customFormat="1" ht="15">
      <c r="A11" s="116">
        <f>A9+1</f>
        <v>334</v>
      </c>
      <c r="B11" s="104" t="s">
        <v>636</v>
      </c>
      <c r="C11" s="87" t="s">
        <v>118</v>
      </c>
      <c r="D11" s="87"/>
      <c r="E11" s="545">
        <f>'1. Description'!D66*'1. Description'!D79+'1. Description'!D67*'1. Description'!D80+'1. Description'!D68*'1. Description'!D81+'1. Description'!D69*'1. Description'!D82+'1. Description'!D70*'1. Description'!D83+'1. Description'!D71*'1. Description'!D84+'1. Description'!E66*'1. Description'!E79+'1. Description'!E67*'1. Description'!E80+'1. Description'!E68*'1. Description'!E81+'1. Description'!E69*'1. Description'!E82+'1. Description'!E70*'1. Description'!E83+'1. Description'!E71*'1. Description'!E84+'1. Description'!F66*'1. Description'!F79+'1. Description'!F67*'1. Description'!F80+'1. Description'!F68*'1. Description'!F81+'1. Description'!F69*'1. Description'!F82+'1. Description'!F70*'1. Description'!F83+'1. Description'!F71*'1. Description'!F84+IF(AND(userdefined_income&lt;=0.6,userdefined_income&gt;0),'1. Description'!K85,0)</f>
        <v>0</v>
      </c>
      <c r="F11" s="87" t="s">
        <v>712</v>
      </c>
      <c r="G11" s="87" t="s">
        <v>119</v>
      </c>
      <c r="H11" s="545">
        <f>'1. Description'!I66*'1. Description'!I79+'1. Description'!I67*'1. Description'!I80+'1. Description'!I68*'1. Description'!I81+'1. Description'!I69*'1. Description'!I82+'1. Description'!I70*'1. Description'!I83+'1. Description'!I71*'1. Description'!I84</f>
        <v>0</v>
      </c>
      <c r="I11" s="87" t="s">
        <v>712</v>
      </c>
      <c r="J11" s="89"/>
    </row>
    <row r="12" spans="1:12" s="84" customFormat="1" ht="15">
      <c r="A12" s="116">
        <f>A11+1</f>
        <v>335</v>
      </c>
      <c r="B12" s="104" t="s">
        <v>636</v>
      </c>
      <c r="C12" s="87" t="s">
        <v>120</v>
      </c>
      <c r="D12" s="87"/>
      <c r="E12" s="549">
        <f>IF(H11&gt;0,E11/H11,0)</f>
        <v>0</v>
      </c>
      <c r="F12" s="87"/>
      <c r="G12" s="87"/>
      <c r="H12" s="87"/>
      <c r="I12" s="87"/>
      <c r="J12" s="89"/>
    </row>
    <row r="13" spans="1:12" s="85" customFormat="1" ht="11.25">
      <c r="A13" s="79"/>
      <c r="B13" s="80"/>
      <c r="C13" s="80"/>
      <c r="D13" s="80"/>
      <c r="E13" s="80"/>
      <c r="F13" s="80"/>
      <c r="G13" s="80"/>
      <c r="H13" s="80"/>
      <c r="I13" s="80"/>
      <c r="J13" s="83"/>
    </row>
    <row r="14" spans="1:12" s="84" customFormat="1" ht="16.5" customHeight="1">
      <c r="A14" s="116">
        <f>A12+1</f>
        <v>336</v>
      </c>
      <c r="B14" s="104" t="s">
        <v>636</v>
      </c>
      <c r="C14" s="87" t="s">
        <v>121</v>
      </c>
      <c r="D14" s="87"/>
      <c r="E14" s="549">
        <f>IF(E12&lt;0.1,E9,IF(E12&gt;E9,E9,E12))</f>
        <v>0</v>
      </c>
      <c r="F14" s="201" t="s">
        <v>314</v>
      </c>
      <c r="G14" s="87"/>
      <c r="H14" s="87"/>
      <c r="I14" s="87"/>
      <c r="J14" s="89"/>
    </row>
    <row r="15" spans="1:12" s="84" customFormat="1" ht="16.5" customHeight="1">
      <c r="A15" s="116">
        <f>A14+1</f>
        <v>337</v>
      </c>
      <c r="B15" s="104" t="s">
        <v>636</v>
      </c>
      <c r="C15" s="87" t="s">
        <v>122</v>
      </c>
      <c r="D15" s="87"/>
      <c r="E15" s="87"/>
      <c r="F15" s="87"/>
      <c r="G15" s="87"/>
      <c r="H15" s="14" t="s">
        <v>325</v>
      </c>
      <c r="I15" s="471"/>
      <c r="J15" s="89"/>
    </row>
    <row r="16" spans="1:12" s="84" customFormat="1" ht="15">
      <c r="A16" s="116">
        <f>A15+1</f>
        <v>338</v>
      </c>
      <c r="B16" s="104" t="s">
        <v>636</v>
      </c>
      <c r="C16" s="87" t="s">
        <v>123</v>
      </c>
      <c r="D16" s="87"/>
      <c r="E16" s="87"/>
      <c r="F16" s="87"/>
      <c r="G16" s="87"/>
      <c r="H16" s="17" t="s">
        <v>325</v>
      </c>
      <c r="I16" s="471"/>
      <c r="J16" s="89"/>
    </row>
    <row r="17" spans="1:11" s="84" customFormat="1" ht="15">
      <c r="A17" s="116">
        <f>A16+1</f>
        <v>339</v>
      </c>
      <c r="B17" s="104" t="s">
        <v>636</v>
      </c>
      <c r="C17" s="87" t="s">
        <v>415</v>
      </c>
      <c r="D17" s="87"/>
      <c r="E17" s="87"/>
      <c r="F17" s="87"/>
      <c r="H17" s="17" t="s">
        <v>325</v>
      </c>
      <c r="I17" s="546" t="str">
        <f>IF(AND(H15="yes",H17&lt;&gt;"no")," &lt; ERROR","")</f>
        <v/>
      </c>
      <c r="J17" s="89"/>
    </row>
    <row r="18" spans="1:11" ht="14.25">
      <c r="A18" s="116"/>
      <c r="B18" s="104"/>
      <c r="C18" s="80"/>
      <c r="D18" s="80"/>
      <c r="E18" s="80"/>
      <c r="F18" s="80"/>
      <c r="G18" s="547"/>
      <c r="H18" s="81"/>
      <c r="I18" s="547"/>
      <c r="J18" s="548"/>
      <c r="K18" s="84"/>
    </row>
    <row r="19" spans="1:11" s="84" customFormat="1" ht="15">
      <c r="A19" s="116">
        <f>A17+1</f>
        <v>340</v>
      </c>
      <c r="B19" s="104" t="s">
        <v>636</v>
      </c>
      <c r="C19" s="87" t="s">
        <v>124</v>
      </c>
      <c r="D19" s="87"/>
      <c r="E19" s="87"/>
      <c r="F19" s="87"/>
      <c r="G19" s="87"/>
      <c r="H19" s="16" t="s">
        <v>99</v>
      </c>
      <c r="I19" s="87"/>
      <c r="J19" s="89"/>
    </row>
    <row r="20" spans="1:11" s="84" customFormat="1" ht="15">
      <c r="A20" s="116">
        <f>A19+1</f>
        <v>341</v>
      </c>
      <c r="B20" s="104" t="s">
        <v>636</v>
      </c>
      <c r="C20" s="87" t="s">
        <v>125</v>
      </c>
      <c r="D20" s="87"/>
      <c r="E20" s="87"/>
      <c r="F20" s="87"/>
      <c r="G20" s="87"/>
      <c r="H20" s="16" t="s">
        <v>99</v>
      </c>
      <c r="I20" s="87"/>
      <c r="J20" s="89"/>
    </row>
    <row r="21" spans="1:11" s="84" customFormat="1" ht="15">
      <c r="A21" s="116">
        <f>A20+1</f>
        <v>342</v>
      </c>
      <c r="B21" s="104" t="s">
        <v>636</v>
      </c>
      <c r="C21" s="87" t="s">
        <v>126</v>
      </c>
      <c r="D21" s="87"/>
      <c r="E21" s="87"/>
      <c r="F21" s="87"/>
      <c r="G21" s="87"/>
      <c r="H21" s="16" t="s">
        <v>99</v>
      </c>
      <c r="I21" s="87"/>
      <c r="J21" s="89"/>
    </row>
    <row r="22" spans="1:11" s="85" customFormat="1" ht="11.25">
      <c r="A22" s="79"/>
      <c r="B22" s="80"/>
      <c r="C22" s="80"/>
      <c r="D22" s="80"/>
      <c r="E22" s="80"/>
      <c r="F22" s="80"/>
      <c r="G22" s="80"/>
      <c r="H22" s="80"/>
      <c r="I22" s="80"/>
      <c r="J22" s="83"/>
    </row>
    <row r="23" spans="1:11" s="84" customFormat="1" ht="15">
      <c r="A23" s="116">
        <f>A21+1</f>
        <v>343</v>
      </c>
      <c r="B23" s="104" t="s">
        <v>636</v>
      </c>
      <c r="C23" s="87" t="s">
        <v>127</v>
      </c>
      <c r="D23" s="87"/>
      <c r="E23" s="87"/>
      <c r="F23" s="87"/>
      <c r="G23" s="87"/>
      <c r="H23" s="87"/>
      <c r="I23" s="87"/>
      <c r="J23" s="89"/>
    </row>
    <row r="24" spans="1:11" s="84" customFormat="1" ht="15">
      <c r="A24" s="116"/>
      <c r="B24" s="104"/>
      <c r="C24" s="211" t="s">
        <v>128</v>
      </c>
      <c r="D24" s="87"/>
      <c r="E24" s="87"/>
      <c r="F24" s="80"/>
      <c r="G24" s="80"/>
      <c r="H24" s="731" t="s">
        <v>1429</v>
      </c>
      <c r="I24" s="80"/>
      <c r="J24" s="83"/>
    </row>
    <row r="25" spans="1:11" s="85" customFormat="1" ht="15">
      <c r="A25" s="79"/>
      <c r="B25" s="80"/>
      <c r="C25" s="80"/>
      <c r="D25" s="80"/>
      <c r="E25" s="80"/>
      <c r="F25" s="87"/>
      <c r="G25" s="87"/>
      <c r="H25" s="87"/>
      <c r="I25" s="87"/>
      <c r="J25" s="89"/>
    </row>
    <row r="26" spans="1:11" ht="15.75">
      <c r="A26" s="116"/>
      <c r="B26" s="104"/>
      <c r="C26" s="144" t="s">
        <v>129</v>
      </c>
      <c r="D26" s="80"/>
      <c r="E26" s="80"/>
      <c r="F26" s="80"/>
      <c r="G26" s="80"/>
      <c r="H26" s="80"/>
      <c r="I26" s="80"/>
      <c r="J26" s="83"/>
    </row>
    <row r="27" spans="1:11" s="84" customFormat="1" ht="15.95" customHeight="1">
      <c r="A27" s="116">
        <f>A23+1</f>
        <v>344</v>
      </c>
      <c r="B27" s="104" t="s">
        <v>636</v>
      </c>
      <c r="C27" s="87" t="s">
        <v>130</v>
      </c>
      <c r="D27" s="87"/>
      <c r="E27" s="87"/>
      <c r="F27" s="87"/>
      <c r="G27" s="88">
        <f>IF(OR(CODE(H27)=89,CODE(H27)=121),0.2,0)</f>
        <v>0</v>
      </c>
      <c r="H27" s="14" t="s">
        <v>325</v>
      </c>
      <c r="I27" s="471"/>
      <c r="J27" s="89"/>
    </row>
    <row r="28" spans="1:11" s="84" customFormat="1" ht="15">
      <c r="A28" s="116">
        <f>A27+1</f>
        <v>345</v>
      </c>
      <c r="B28" s="104" t="s">
        <v>636</v>
      </c>
      <c r="C28" s="87" t="s">
        <v>663</v>
      </c>
      <c r="D28" s="87"/>
      <c r="E28" s="87"/>
      <c r="F28" s="87"/>
      <c r="G28" s="87"/>
      <c r="H28" s="732" t="s">
        <v>267</v>
      </c>
      <c r="I28" s="471"/>
      <c r="J28" s="89"/>
    </row>
    <row r="29" spans="1:11" s="84" customFormat="1" ht="15">
      <c r="A29" s="116"/>
      <c r="B29" s="104"/>
      <c r="C29" s="87"/>
      <c r="D29" s="87"/>
      <c r="E29" s="87"/>
      <c r="F29" s="87"/>
      <c r="G29" s="87"/>
      <c r="H29" s="87"/>
      <c r="I29" s="87"/>
      <c r="J29" s="89"/>
    </row>
    <row r="30" spans="1:11" s="85" customFormat="1" ht="11.25">
      <c r="A30" s="79"/>
      <c r="B30" s="80"/>
      <c r="C30" s="80"/>
      <c r="D30" s="80"/>
      <c r="E30" s="80"/>
      <c r="F30" s="80"/>
      <c r="G30" s="80"/>
      <c r="H30" s="80"/>
      <c r="I30" s="80"/>
      <c r="J30" s="83"/>
    </row>
    <row r="31" spans="1:11" ht="15.75">
      <c r="A31" s="116"/>
      <c r="B31" s="104"/>
      <c r="C31" s="144" t="s">
        <v>131</v>
      </c>
      <c r="D31" s="138"/>
      <c r="E31" s="138"/>
      <c r="F31" s="138"/>
      <c r="G31" s="138"/>
      <c r="H31" s="80"/>
      <c r="I31" s="80"/>
      <c r="J31" s="83"/>
    </row>
    <row r="32" spans="1:11" s="84" customFormat="1" ht="15">
      <c r="A32" s="116">
        <f>A28+1</f>
        <v>346</v>
      </c>
      <c r="B32" s="104" t="s">
        <v>636</v>
      </c>
      <c r="C32" s="87" t="s">
        <v>416</v>
      </c>
      <c r="D32" s="87"/>
      <c r="E32" s="87"/>
      <c r="F32" s="87"/>
      <c r="G32" s="87"/>
      <c r="H32" s="713" t="s">
        <v>325</v>
      </c>
      <c r="I32" s="471"/>
      <c r="J32" s="89"/>
    </row>
    <row r="33" spans="1:11" s="84" customFormat="1" ht="15">
      <c r="A33" s="116"/>
      <c r="B33" s="104"/>
      <c r="C33" s="87" t="s">
        <v>417</v>
      </c>
      <c r="D33" s="87"/>
      <c r="E33" s="87"/>
      <c r="F33" s="87"/>
      <c r="G33" s="87"/>
      <c r="H33" s="250"/>
      <c r="I33" s="250"/>
      <c r="J33" s="89"/>
      <c r="K33" s="103"/>
    </row>
    <row r="34" spans="1:11">
      <c r="A34" s="116"/>
      <c r="B34" s="104"/>
      <c r="C34" s="104"/>
      <c r="D34" s="104"/>
      <c r="E34" s="104"/>
      <c r="F34" s="104"/>
      <c r="G34" s="210" t="s">
        <v>160</v>
      </c>
      <c r="H34" s="115"/>
      <c r="I34" s="210" t="s">
        <v>706</v>
      </c>
      <c r="J34" s="127"/>
      <c r="K34" s="451"/>
    </row>
    <row r="35" spans="1:11" ht="15.75">
      <c r="A35" s="116"/>
      <c r="B35" s="104"/>
      <c r="C35" s="144" t="s">
        <v>163</v>
      </c>
      <c r="D35" s="80"/>
      <c r="E35" s="80"/>
      <c r="F35" s="80"/>
      <c r="G35" s="210" t="s">
        <v>164</v>
      </c>
      <c r="H35" s="119"/>
      <c r="I35" s="210" t="s">
        <v>164</v>
      </c>
      <c r="J35" s="83"/>
    </row>
    <row r="36" spans="1:11" s="84" customFormat="1" ht="15">
      <c r="A36" s="116">
        <f>A32+1</f>
        <v>347</v>
      </c>
      <c r="B36" s="104" t="s">
        <v>636</v>
      </c>
      <c r="C36" s="87" t="s">
        <v>165</v>
      </c>
      <c r="D36" s="87"/>
      <c r="E36" s="87"/>
      <c r="F36" s="87"/>
      <c r="G36" s="481">
        <f>G112</f>
        <v>0</v>
      </c>
      <c r="H36" s="95"/>
      <c r="I36" s="481">
        <f>H112</f>
        <v>0</v>
      </c>
      <c r="J36" s="89"/>
    </row>
    <row r="37" spans="1:11" s="84" customFormat="1" ht="15">
      <c r="A37" s="116">
        <f t="shared" ref="A37:A48" si="0">A36+1</f>
        <v>348</v>
      </c>
      <c r="B37" s="104" t="s">
        <v>636</v>
      </c>
      <c r="C37" s="87" t="s">
        <v>166</v>
      </c>
      <c r="D37" s="87"/>
      <c r="E37" s="87"/>
      <c r="F37" s="87"/>
      <c r="G37" s="481">
        <f>H20+0</f>
        <v>0</v>
      </c>
      <c r="H37" s="95"/>
      <c r="I37" s="481">
        <f>H21+0</f>
        <v>0</v>
      </c>
      <c r="J37" s="89"/>
    </row>
    <row r="38" spans="1:11" s="84" customFormat="1" ht="15">
      <c r="A38" s="116">
        <f t="shared" si="0"/>
        <v>349</v>
      </c>
      <c r="B38" s="104" t="s">
        <v>636</v>
      </c>
      <c r="C38" s="87" t="s">
        <v>167</v>
      </c>
      <c r="D38" s="87"/>
      <c r="E38" s="87"/>
      <c r="F38" s="87"/>
      <c r="G38" s="481">
        <v>0</v>
      </c>
      <c r="H38" s="95"/>
      <c r="I38" s="481">
        <f>IF(ISERR(G27)=1,0,(H112-H28)*G27)</f>
        <v>0</v>
      </c>
      <c r="J38" s="89"/>
    </row>
    <row r="39" spans="1:11" s="84" customFormat="1" ht="15">
      <c r="A39" s="116">
        <f t="shared" si="0"/>
        <v>350</v>
      </c>
      <c r="B39" s="104" t="s">
        <v>636</v>
      </c>
      <c r="C39" s="87" t="s">
        <v>168</v>
      </c>
      <c r="D39" s="87"/>
      <c r="E39" s="87"/>
      <c r="F39" s="87"/>
      <c r="G39" s="481">
        <v>0</v>
      </c>
      <c r="H39" s="95"/>
      <c r="I39" s="481">
        <f>IF(ISERR(G27)=1,0,+H19*(1-G27))</f>
        <v>0</v>
      </c>
      <c r="J39" s="89"/>
    </row>
    <row r="40" spans="1:11" s="84" customFormat="1" ht="15">
      <c r="A40" s="116">
        <f t="shared" si="0"/>
        <v>351</v>
      </c>
      <c r="B40" s="104" t="s">
        <v>636</v>
      </c>
      <c r="C40" s="87" t="s">
        <v>169</v>
      </c>
      <c r="D40" s="87"/>
      <c r="E40" s="87"/>
      <c r="F40" s="87"/>
      <c r="G40" s="481">
        <f>G36-G37-G38-G39</f>
        <v>0</v>
      </c>
      <c r="H40" s="95"/>
      <c r="I40" s="481">
        <f>I36-I37-I38-I39</f>
        <v>0</v>
      </c>
      <c r="J40" s="89"/>
    </row>
    <row r="41" spans="1:11" s="84" customFormat="1" ht="15">
      <c r="A41" s="116">
        <f t="shared" si="0"/>
        <v>352</v>
      </c>
      <c r="B41" s="104" t="s">
        <v>636</v>
      </c>
      <c r="C41" s="87" t="s">
        <v>170</v>
      </c>
      <c r="D41" s="87"/>
      <c r="E41" s="87"/>
      <c r="F41" s="87"/>
      <c r="G41" s="544">
        <v>1</v>
      </c>
      <c r="H41" s="95"/>
      <c r="I41" s="544">
        <f>IF(H32="Yes",1.3,1)</f>
        <v>1</v>
      </c>
      <c r="J41" s="89"/>
    </row>
    <row r="42" spans="1:11" s="84" customFormat="1" ht="15">
      <c r="A42" s="116">
        <f t="shared" si="0"/>
        <v>353</v>
      </c>
      <c r="B42" s="104" t="s">
        <v>636</v>
      </c>
      <c r="C42" s="87" t="s">
        <v>171</v>
      </c>
      <c r="D42" s="87"/>
      <c r="E42" s="87"/>
      <c r="F42" s="87"/>
      <c r="G42" s="549">
        <f>ROUND(+E14,3)</f>
        <v>0</v>
      </c>
      <c r="H42" s="95"/>
      <c r="I42" s="549">
        <f>ROUND(+E14,3)</f>
        <v>0</v>
      </c>
      <c r="J42" s="89"/>
    </row>
    <row r="43" spans="1:11" s="84" customFormat="1" ht="15">
      <c r="A43" s="116">
        <f t="shared" si="0"/>
        <v>354</v>
      </c>
      <c r="B43" s="104" t="s">
        <v>636</v>
      </c>
      <c r="C43" s="87" t="s">
        <v>172</v>
      </c>
      <c r="D43" s="87"/>
      <c r="E43" s="87"/>
      <c r="F43" s="87"/>
      <c r="G43" s="565">
        <v>3.6600000000000001E-2</v>
      </c>
      <c r="H43" s="95"/>
      <c r="I43" s="565">
        <v>8.5300000000000001E-2</v>
      </c>
      <c r="J43" s="89"/>
    </row>
    <row r="44" spans="1:11" s="84" customFormat="1" ht="15">
      <c r="A44" s="116">
        <f t="shared" si="0"/>
        <v>355</v>
      </c>
      <c r="B44" s="104" t="s">
        <v>636</v>
      </c>
      <c r="C44" s="95" t="s">
        <v>186</v>
      </c>
      <c r="D44" s="87"/>
      <c r="E44" s="87"/>
      <c r="F44" s="87"/>
      <c r="G44" s="481">
        <f>IF(H16="Yes",G40*G41*G42*G43,0)</f>
        <v>0</v>
      </c>
      <c r="H44" s="95"/>
      <c r="I44" s="481">
        <f>I40*I41*I42*I43</f>
        <v>0</v>
      </c>
      <c r="J44" s="89"/>
    </row>
    <row r="45" spans="1:11" s="84" customFormat="1" ht="15">
      <c r="A45" s="116">
        <f t="shared" si="0"/>
        <v>356</v>
      </c>
      <c r="B45" s="104" t="s">
        <v>636</v>
      </c>
      <c r="C45" s="95" t="s">
        <v>187</v>
      </c>
      <c r="D45" s="87"/>
      <c r="E45" s="87"/>
      <c r="F45" s="87"/>
      <c r="G45" s="87"/>
      <c r="H45" s="481">
        <f>G44+I44</f>
        <v>0</v>
      </c>
      <c r="I45" s="87"/>
      <c r="J45" s="89"/>
    </row>
    <row r="46" spans="1:11" s="84" customFormat="1" ht="15">
      <c r="A46" s="116">
        <f t="shared" si="0"/>
        <v>357</v>
      </c>
      <c r="B46" s="104" t="s">
        <v>636</v>
      </c>
      <c r="C46" s="87" t="s">
        <v>149</v>
      </c>
      <c r="D46" s="87"/>
      <c r="E46" s="87"/>
      <c r="F46" s="566">
        <v>0</v>
      </c>
      <c r="G46" s="87" t="s">
        <v>159</v>
      </c>
      <c r="H46" s="481">
        <f>H45*F46*10</f>
        <v>0</v>
      </c>
      <c r="I46" s="87"/>
      <c r="J46" s="89"/>
    </row>
    <row r="47" spans="1:11" s="84" customFormat="1" ht="15">
      <c r="A47" s="116">
        <f t="shared" si="0"/>
        <v>358</v>
      </c>
      <c r="B47" s="104" t="s">
        <v>636</v>
      </c>
      <c r="C47" s="87" t="s">
        <v>158</v>
      </c>
      <c r="D47" s="87"/>
      <c r="E47" s="87"/>
      <c r="F47" s="566">
        <v>0</v>
      </c>
      <c r="G47" s="87" t="s">
        <v>159</v>
      </c>
      <c r="H47" s="481">
        <f>I38*F47</f>
        <v>0</v>
      </c>
      <c r="I47" s="87"/>
      <c r="J47" s="89"/>
    </row>
    <row r="48" spans="1:11" s="84" customFormat="1" ht="15">
      <c r="A48" s="116">
        <f t="shared" si="0"/>
        <v>359</v>
      </c>
      <c r="B48" s="104" t="s">
        <v>636</v>
      </c>
      <c r="C48" s="87" t="s">
        <v>188</v>
      </c>
      <c r="D48" s="87"/>
      <c r="E48" s="87"/>
      <c r="F48" s="87"/>
      <c r="G48" s="87"/>
      <c r="H48" s="481">
        <f>H47+H46</f>
        <v>0</v>
      </c>
      <c r="I48" s="87"/>
      <c r="J48" s="89"/>
      <c r="K48" s="770"/>
    </row>
    <row r="49" spans="1:12" s="85" customFormat="1" ht="11.25">
      <c r="A49" s="79"/>
      <c r="B49" s="80"/>
      <c r="C49" s="80"/>
      <c r="D49" s="80"/>
      <c r="E49" s="80"/>
      <c r="F49" s="80"/>
      <c r="G49" s="80"/>
      <c r="H49" s="80"/>
      <c r="I49" s="80"/>
      <c r="J49" s="83"/>
    </row>
    <row r="50" spans="1:12" s="84" customFormat="1" ht="15">
      <c r="A50" s="116">
        <f>A48+1</f>
        <v>360</v>
      </c>
      <c r="B50" s="104" t="s">
        <v>636</v>
      </c>
      <c r="C50" s="87" t="s">
        <v>189</v>
      </c>
      <c r="D50" s="87"/>
      <c r="E50" s="95"/>
      <c r="F50" s="95"/>
      <c r="G50" s="87"/>
      <c r="H50" s="481" t="str">
        <f>'3. Sources Uses'!G9</f>
        <v>$</v>
      </c>
      <c r="I50" s="550" t="s">
        <v>473</v>
      </c>
      <c r="J50" s="89"/>
    </row>
    <row r="51" spans="1:12" s="85" customFormat="1" ht="11.25">
      <c r="A51" s="79"/>
      <c r="B51" s="80"/>
      <c r="E51" s="80"/>
      <c r="F51" s="80"/>
      <c r="G51" s="80"/>
      <c r="H51" s="80"/>
      <c r="I51" s="80"/>
      <c r="J51" s="83"/>
      <c r="K51" s="818">
        <v>0.05</v>
      </c>
      <c r="L51" s="818" t="str">
        <f>IF(H48&gt;0,(ABS(H50-H48)/H48),"")</f>
        <v/>
      </c>
    </row>
    <row r="52" spans="1:12" ht="15">
      <c r="A52" s="116"/>
      <c r="B52" s="104"/>
      <c r="C52" s="546" t="str">
        <f>IF(L51&gt;K51,"There is a significant difference between items 358 and 359 above. Please verify your numbers","")</f>
        <v/>
      </c>
      <c r="D52" s="211"/>
      <c r="E52" s="211"/>
      <c r="F52" s="211"/>
      <c r="G52" s="211"/>
      <c r="H52" s="211"/>
      <c r="I52" s="211"/>
      <c r="J52" s="83"/>
    </row>
    <row r="53" spans="1:12" s="101" customFormat="1">
      <c r="A53" s="116"/>
      <c r="B53" s="104"/>
      <c r="C53" s="1344" t="s">
        <v>700</v>
      </c>
      <c r="D53" s="1345"/>
      <c r="E53" s="1345"/>
      <c r="F53" s="1345"/>
      <c r="G53" s="1345"/>
      <c r="H53" s="1345"/>
      <c r="I53" s="1345"/>
      <c r="J53" s="127"/>
    </row>
    <row r="54" spans="1:12" s="101" customFormat="1">
      <c r="A54" s="116"/>
      <c r="B54" s="104"/>
      <c r="C54" s="1345"/>
      <c r="D54" s="1345"/>
      <c r="E54" s="1345"/>
      <c r="F54" s="1345"/>
      <c r="G54" s="1345"/>
      <c r="H54" s="1345"/>
      <c r="I54" s="1345"/>
      <c r="J54" s="127"/>
    </row>
    <row r="55" spans="1:12" s="85" customFormat="1" ht="12" thickBot="1">
      <c r="A55" s="209"/>
      <c r="B55" s="133"/>
      <c r="C55" s="133"/>
      <c r="D55" s="133"/>
      <c r="E55" s="133"/>
      <c r="F55" s="133"/>
      <c r="G55" s="133"/>
      <c r="H55" s="133"/>
      <c r="I55" s="133"/>
      <c r="J55" s="135"/>
    </row>
    <row r="56" spans="1:12" s="65" customFormat="1">
      <c r="A56" s="104"/>
      <c r="B56" s="104"/>
      <c r="C56" s="67">
        <f>PROJNAME</f>
        <v>0</v>
      </c>
      <c r="D56" s="64"/>
      <c r="E56" s="64"/>
      <c r="F56" s="64"/>
      <c r="G56" s="64"/>
      <c r="H56" s="137" t="e">
        <f>'1. Description'!$G$59</f>
        <v>#VALUE!</v>
      </c>
      <c r="I56" s="1280" t="e">
        <f>'1. Description'!$H$59</f>
        <v>#VALUE!</v>
      </c>
      <c r="J56" s="1280"/>
    </row>
    <row r="57" spans="1:12" ht="16.5" thickBot="1">
      <c r="A57" s="115" t="s">
        <v>190</v>
      </c>
      <c r="B57" s="104"/>
      <c r="C57" s="115"/>
      <c r="D57" s="138"/>
      <c r="E57" s="138"/>
      <c r="F57" s="138"/>
      <c r="G57" s="138"/>
      <c r="H57" s="138"/>
      <c r="I57" s="115" t="s">
        <v>191</v>
      </c>
      <c r="J57" s="80"/>
    </row>
    <row r="58" spans="1:12">
      <c r="A58" s="140"/>
      <c r="B58" s="540"/>
      <c r="C58" s="199"/>
      <c r="D58" s="199"/>
      <c r="E58" s="199"/>
      <c r="F58" s="558"/>
      <c r="G58" s="199"/>
      <c r="H58" s="199"/>
      <c r="I58" s="199"/>
      <c r="J58" s="200"/>
    </row>
    <row r="59" spans="1:12">
      <c r="A59" s="116"/>
      <c r="B59" s="104"/>
      <c r="C59" s="80"/>
      <c r="D59" s="80"/>
      <c r="E59" s="80"/>
      <c r="F59" s="80"/>
      <c r="G59" s="80"/>
      <c r="H59" s="80"/>
      <c r="I59" s="80"/>
      <c r="J59" s="83"/>
    </row>
    <row r="60" spans="1:12">
      <c r="A60" s="116"/>
      <c r="B60" s="104"/>
      <c r="C60" s="80"/>
      <c r="D60" s="80"/>
      <c r="E60" s="559"/>
      <c r="F60" s="210" t="s">
        <v>192</v>
      </c>
      <c r="G60" s="559"/>
      <c r="H60" s="559"/>
      <c r="I60" s="559"/>
      <c r="J60" s="83"/>
    </row>
    <row r="61" spans="1:12">
      <c r="A61" s="116"/>
      <c r="B61" s="104"/>
      <c r="C61" s="80"/>
      <c r="D61" s="80"/>
      <c r="E61" s="559"/>
      <c r="F61" s="210" t="s">
        <v>193</v>
      </c>
      <c r="G61" s="559"/>
      <c r="H61" s="559"/>
      <c r="I61" s="559"/>
      <c r="J61" s="83"/>
    </row>
    <row r="62" spans="1:12">
      <c r="A62" s="116"/>
      <c r="B62" s="104"/>
      <c r="C62" s="104"/>
      <c r="D62" s="104"/>
      <c r="E62" s="210" t="s">
        <v>657</v>
      </c>
      <c r="F62" s="210" t="s">
        <v>194</v>
      </c>
      <c r="G62" s="210" t="s">
        <v>160</v>
      </c>
      <c r="H62" s="210" t="s">
        <v>706</v>
      </c>
      <c r="I62" s="210" t="s">
        <v>195</v>
      </c>
      <c r="J62" s="127"/>
    </row>
    <row r="63" spans="1:12">
      <c r="A63" s="116"/>
      <c r="B63" s="104"/>
      <c r="C63" s="104"/>
      <c r="D63" s="104"/>
      <c r="E63" s="210" t="s">
        <v>1263</v>
      </c>
      <c r="F63" s="210" t="s">
        <v>196</v>
      </c>
      <c r="G63" s="210" t="s">
        <v>197</v>
      </c>
      <c r="H63" s="210" t="s">
        <v>197</v>
      </c>
      <c r="I63" s="210" t="s">
        <v>196</v>
      </c>
      <c r="J63" s="127"/>
    </row>
    <row r="64" spans="1:12">
      <c r="A64" s="116">
        <f>A50+1</f>
        <v>361</v>
      </c>
      <c r="B64" s="104" t="s">
        <v>636</v>
      </c>
      <c r="C64" s="104" t="s">
        <v>1266</v>
      </c>
      <c r="D64" s="104"/>
      <c r="E64" s="560">
        <f>'3. Sources Uses'!F127+0</f>
        <v>0</v>
      </c>
      <c r="F64" s="104"/>
      <c r="G64" s="104"/>
      <c r="H64" s="104"/>
      <c r="I64" s="560">
        <f>E64</f>
        <v>0</v>
      </c>
      <c r="J64" s="127"/>
    </row>
    <row r="65" spans="1:10">
      <c r="A65" s="116">
        <f>A64+1</f>
        <v>362</v>
      </c>
      <c r="B65" s="104" t="s">
        <v>636</v>
      </c>
      <c r="C65" s="104" t="s">
        <v>1267</v>
      </c>
      <c r="D65" s="104"/>
      <c r="E65" s="560">
        <f>'3. Sources Uses'!F128+0</f>
        <v>0</v>
      </c>
      <c r="F65" s="104"/>
      <c r="G65" s="560">
        <f>E65-H65-I65</f>
        <v>0</v>
      </c>
      <c r="H65" s="24">
        <v>0</v>
      </c>
      <c r="I65" s="24">
        <v>0</v>
      </c>
      <c r="J65" s="127"/>
    </row>
    <row r="66" spans="1:10">
      <c r="A66" s="116">
        <f>A65+1</f>
        <v>363</v>
      </c>
      <c r="B66" s="104" t="s">
        <v>636</v>
      </c>
      <c r="C66" s="153" t="s">
        <v>1268</v>
      </c>
      <c r="D66" s="104"/>
      <c r="E66" s="560">
        <f>'3. Sources Uses'!F129+0</f>
        <v>0</v>
      </c>
      <c r="F66" s="104"/>
      <c r="G66" s="560">
        <f>SUM(G64:G65)</f>
        <v>0</v>
      </c>
      <c r="H66" s="560">
        <f>SUM(H64:H65)</f>
        <v>0</v>
      </c>
      <c r="I66" s="560">
        <f>SUM(I64:I65)</f>
        <v>0</v>
      </c>
      <c r="J66" s="127"/>
    </row>
    <row r="67" spans="1:10">
      <c r="A67" s="116"/>
      <c r="B67" s="104"/>
      <c r="C67" s="80"/>
      <c r="D67" s="80"/>
      <c r="E67" s="80"/>
      <c r="F67" s="80"/>
      <c r="G67" s="80"/>
      <c r="H67" s="80"/>
      <c r="I67" s="80"/>
      <c r="J67" s="83"/>
    </row>
    <row r="68" spans="1:10">
      <c r="A68" s="116">
        <f>A66+1</f>
        <v>364</v>
      </c>
      <c r="B68" s="104" t="s">
        <v>636</v>
      </c>
      <c r="C68" s="104" t="s">
        <v>1269</v>
      </c>
      <c r="D68" s="104"/>
      <c r="E68" s="560">
        <f>'3. Sources Uses'!F131+0</f>
        <v>0</v>
      </c>
      <c r="F68" s="104"/>
      <c r="G68" s="24">
        <v>0</v>
      </c>
      <c r="H68" s="560">
        <f>E68-G68-I68</f>
        <v>0</v>
      </c>
      <c r="I68" s="561"/>
      <c r="J68" s="127"/>
    </row>
    <row r="69" spans="1:10">
      <c r="A69" s="116">
        <f>A68+1</f>
        <v>365</v>
      </c>
      <c r="B69" s="104" t="s">
        <v>636</v>
      </c>
      <c r="C69" s="104" t="s">
        <v>1270</v>
      </c>
      <c r="D69" s="104"/>
      <c r="E69" s="560">
        <f>'3. Sources Uses'!F132+0</f>
        <v>0</v>
      </c>
      <c r="F69" s="104"/>
      <c r="G69" s="24">
        <v>0</v>
      </c>
      <c r="H69" s="560">
        <f>E69-G69-I69</f>
        <v>0</v>
      </c>
      <c r="I69" s="561"/>
      <c r="J69" s="127"/>
    </row>
    <row r="70" spans="1:10">
      <c r="A70" s="116">
        <f>A69+1</f>
        <v>366</v>
      </c>
      <c r="B70" s="104" t="s">
        <v>636</v>
      </c>
      <c r="C70" s="153" t="s">
        <v>1273</v>
      </c>
      <c r="D70" s="104"/>
      <c r="E70" s="560">
        <f>'3. Sources Uses'!F133+0</f>
        <v>0</v>
      </c>
      <c r="F70" s="104"/>
      <c r="G70" s="560">
        <f>SUM(G68:G69)</f>
        <v>0</v>
      </c>
      <c r="H70" s="560">
        <f>SUM(H68:H69)</f>
        <v>0</v>
      </c>
      <c r="I70" s="560">
        <f>SUM(I68:I69)</f>
        <v>0</v>
      </c>
      <c r="J70" s="127"/>
    </row>
    <row r="71" spans="1:10">
      <c r="A71" s="116"/>
      <c r="B71" s="104"/>
      <c r="C71" s="80"/>
      <c r="D71" s="80"/>
      <c r="E71" s="80"/>
      <c r="F71" s="80"/>
      <c r="G71" s="80"/>
      <c r="H71" s="80"/>
      <c r="I71" s="80"/>
      <c r="J71" s="83"/>
    </row>
    <row r="72" spans="1:10">
      <c r="A72" s="116"/>
      <c r="B72" s="104"/>
      <c r="C72" s="153" t="s">
        <v>1274</v>
      </c>
      <c r="D72" s="104"/>
      <c r="E72" s="104"/>
      <c r="F72" s="104"/>
      <c r="G72" s="104"/>
      <c r="H72" s="104"/>
      <c r="I72" s="104"/>
      <c r="J72" s="127"/>
    </row>
    <row r="73" spans="1:10">
      <c r="A73" s="116">
        <f>A70+1</f>
        <v>367</v>
      </c>
      <c r="B73" s="104" t="s">
        <v>636</v>
      </c>
      <c r="C73" s="104" t="s">
        <v>1275</v>
      </c>
      <c r="D73" s="104"/>
      <c r="E73" s="560">
        <f>'3. Sources Uses'!F136+0</f>
        <v>0</v>
      </c>
      <c r="F73" s="25">
        <v>0</v>
      </c>
      <c r="G73" s="561"/>
      <c r="H73" s="560">
        <f t="shared" ref="H73:H80" si="1">E73-G73-I73</f>
        <v>0</v>
      </c>
      <c r="I73" s="560">
        <f t="shared" ref="I73:I98" si="2">E73*F73</f>
        <v>0</v>
      </c>
      <c r="J73" s="127"/>
    </row>
    <row r="74" spans="1:10">
      <c r="A74" s="116">
        <f t="shared" ref="A74:A99" si="3">A73+1</f>
        <v>368</v>
      </c>
      <c r="B74" s="104" t="s">
        <v>636</v>
      </c>
      <c r="C74" s="104" t="s">
        <v>1276</v>
      </c>
      <c r="D74" s="104"/>
      <c r="E74" s="560">
        <f>'3. Sources Uses'!F137+0</f>
        <v>0</v>
      </c>
      <c r="F74" s="25">
        <v>0</v>
      </c>
      <c r="G74" s="561"/>
      <c r="H74" s="560">
        <f t="shared" si="1"/>
        <v>0</v>
      </c>
      <c r="I74" s="560">
        <f t="shared" si="2"/>
        <v>0</v>
      </c>
      <c r="J74" s="127"/>
    </row>
    <row r="75" spans="1:10">
      <c r="A75" s="116">
        <f t="shared" si="3"/>
        <v>369</v>
      </c>
      <c r="B75" s="104" t="s">
        <v>636</v>
      </c>
      <c r="C75" s="104" t="s">
        <v>1277</v>
      </c>
      <c r="D75" s="104"/>
      <c r="E75" s="560">
        <f>'3. Sources Uses'!F138+0</f>
        <v>0</v>
      </c>
      <c r="F75" s="25">
        <v>0</v>
      </c>
      <c r="G75" s="561"/>
      <c r="H75" s="560">
        <f t="shared" si="1"/>
        <v>0</v>
      </c>
      <c r="I75" s="560">
        <f t="shared" si="2"/>
        <v>0</v>
      </c>
      <c r="J75" s="127"/>
    </row>
    <row r="76" spans="1:10">
      <c r="A76" s="116">
        <f t="shared" si="3"/>
        <v>370</v>
      </c>
      <c r="B76" s="104" t="s">
        <v>636</v>
      </c>
      <c r="C76" s="104" t="s">
        <v>1278</v>
      </c>
      <c r="D76" s="104"/>
      <c r="E76" s="560">
        <f>'3. Sources Uses'!F139+0</f>
        <v>0</v>
      </c>
      <c r="F76" s="25">
        <v>0</v>
      </c>
      <c r="G76" s="561"/>
      <c r="H76" s="560">
        <f t="shared" si="1"/>
        <v>0</v>
      </c>
      <c r="I76" s="560">
        <f t="shared" si="2"/>
        <v>0</v>
      </c>
      <c r="J76" s="127"/>
    </row>
    <row r="77" spans="1:10">
      <c r="A77" s="116">
        <f t="shared" si="3"/>
        <v>371</v>
      </c>
      <c r="B77" s="104" t="s">
        <v>636</v>
      </c>
      <c r="C77" s="104" t="s">
        <v>1279</v>
      </c>
      <c r="D77" s="104"/>
      <c r="E77" s="560">
        <f>'3. Sources Uses'!F140+0</f>
        <v>0</v>
      </c>
      <c r="F77" s="25">
        <v>0</v>
      </c>
      <c r="G77" s="561"/>
      <c r="H77" s="560">
        <f t="shared" si="1"/>
        <v>0</v>
      </c>
      <c r="I77" s="560">
        <f t="shared" si="2"/>
        <v>0</v>
      </c>
      <c r="J77" s="127"/>
    </row>
    <row r="78" spans="1:10">
      <c r="A78" s="116">
        <f t="shared" si="3"/>
        <v>372</v>
      </c>
      <c r="B78" s="104" t="s">
        <v>636</v>
      </c>
      <c r="C78" s="104" t="s">
        <v>198</v>
      </c>
      <c r="D78" s="104"/>
      <c r="E78" s="560">
        <f>'3. Sources Uses'!F141+0</f>
        <v>0</v>
      </c>
      <c r="F78" s="25">
        <v>0</v>
      </c>
      <c r="G78" s="24">
        <v>0</v>
      </c>
      <c r="H78" s="560">
        <f t="shared" si="1"/>
        <v>0</v>
      </c>
      <c r="I78" s="560">
        <f t="shared" si="2"/>
        <v>0</v>
      </c>
      <c r="J78" s="127"/>
    </row>
    <row r="79" spans="1:10">
      <c r="A79" s="116">
        <f t="shared" si="3"/>
        <v>373</v>
      </c>
      <c r="B79" s="104" t="s">
        <v>636</v>
      </c>
      <c r="C79" s="104" t="s">
        <v>1281</v>
      </c>
      <c r="D79" s="104"/>
      <c r="E79" s="560">
        <f>'3. Sources Uses'!F142+0</f>
        <v>0</v>
      </c>
      <c r="F79" s="25">
        <v>0</v>
      </c>
      <c r="G79" s="24">
        <v>0</v>
      </c>
      <c r="H79" s="560">
        <f t="shared" si="1"/>
        <v>0</v>
      </c>
      <c r="I79" s="560">
        <f t="shared" si="2"/>
        <v>0</v>
      </c>
      <c r="J79" s="127"/>
    </row>
    <row r="80" spans="1:10">
      <c r="A80" s="116">
        <f t="shared" si="3"/>
        <v>374</v>
      </c>
      <c r="B80" s="104" t="s">
        <v>636</v>
      </c>
      <c r="C80" s="104" t="s">
        <v>1282</v>
      </c>
      <c r="D80" s="104"/>
      <c r="E80" s="560">
        <f>'3. Sources Uses'!F143+0</f>
        <v>0</v>
      </c>
      <c r="F80" s="26">
        <v>0</v>
      </c>
      <c r="G80" s="24">
        <v>0</v>
      </c>
      <c r="H80" s="560">
        <f t="shared" si="1"/>
        <v>0</v>
      </c>
      <c r="I80" s="560">
        <f t="shared" si="2"/>
        <v>0</v>
      </c>
      <c r="J80" s="127"/>
    </row>
    <row r="81" spans="1:10">
      <c r="A81" s="116">
        <f t="shared" si="3"/>
        <v>375</v>
      </c>
      <c r="B81" s="104" t="s">
        <v>636</v>
      </c>
      <c r="C81" s="104" t="s">
        <v>199</v>
      </c>
      <c r="D81" s="104"/>
      <c r="E81" s="560">
        <f>'3. Sources Uses'!F144+0</f>
        <v>0</v>
      </c>
      <c r="F81" s="25">
        <v>1</v>
      </c>
      <c r="G81" s="561"/>
      <c r="H81" s="561"/>
      <c r="I81" s="560">
        <f t="shared" si="2"/>
        <v>0</v>
      </c>
      <c r="J81" s="127"/>
    </row>
    <row r="82" spans="1:10">
      <c r="A82" s="116">
        <f t="shared" si="3"/>
        <v>376</v>
      </c>
      <c r="B82" s="104" t="s">
        <v>636</v>
      </c>
      <c r="C82" s="104" t="s">
        <v>200</v>
      </c>
      <c r="D82" s="104"/>
      <c r="E82" s="560">
        <f>'3. Sources Uses'!F145+0</f>
        <v>0</v>
      </c>
      <c r="F82" s="25">
        <v>0</v>
      </c>
      <c r="G82" s="24">
        <v>0</v>
      </c>
      <c r="H82" s="560">
        <f t="shared" ref="H82:H98" si="4">E82-G82-I82</f>
        <v>0</v>
      </c>
      <c r="I82" s="560">
        <f t="shared" si="2"/>
        <v>0</v>
      </c>
      <c r="J82" s="127"/>
    </row>
    <row r="83" spans="1:10">
      <c r="A83" s="116">
        <f t="shared" si="3"/>
        <v>377</v>
      </c>
      <c r="B83" s="104" t="s">
        <v>636</v>
      </c>
      <c r="C83" s="104" t="s">
        <v>1291</v>
      </c>
      <c r="D83" s="104"/>
      <c r="E83" s="560">
        <f>'3. Sources Uses'!F146+0</f>
        <v>0</v>
      </c>
      <c r="F83" s="25">
        <v>0</v>
      </c>
      <c r="G83" s="24">
        <v>0</v>
      </c>
      <c r="H83" s="560">
        <f t="shared" si="4"/>
        <v>0</v>
      </c>
      <c r="I83" s="560">
        <f t="shared" si="2"/>
        <v>0</v>
      </c>
      <c r="J83" s="127"/>
    </row>
    <row r="84" spans="1:10">
      <c r="A84" s="116">
        <f t="shared" si="3"/>
        <v>378</v>
      </c>
      <c r="B84" s="104" t="s">
        <v>636</v>
      </c>
      <c r="C84" s="104" t="s">
        <v>1292</v>
      </c>
      <c r="D84" s="104"/>
      <c r="E84" s="560">
        <f>'3. Sources Uses'!F147+0</f>
        <v>0</v>
      </c>
      <c r="F84" s="25">
        <v>0</v>
      </c>
      <c r="G84" s="24">
        <v>0</v>
      </c>
      <c r="H84" s="560">
        <f t="shared" si="4"/>
        <v>0</v>
      </c>
      <c r="I84" s="560">
        <f t="shared" si="2"/>
        <v>0</v>
      </c>
      <c r="J84" s="127"/>
    </row>
    <row r="85" spans="1:10">
      <c r="A85" s="116">
        <f t="shared" si="3"/>
        <v>379</v>
      </c>
      <c r="B85" s="104" t="s">
        <v>636</v>
      </c>
      <c r="C85" s="104" t="s">
        <v>1293</v>
      </c>
      <c r="D85" s="104"/>
      <c r="E85" s="560">
        <f>'3. Sources Uses'!F148+0</f>
        <v>0</v>
      </c>
      <c r="F85" s="25">
        <v>0</v>
      </c>
      <c r="G85" s="24">
        <v>0</v>
      </c>
      <c r="H85" s="560">
        <f t="shared" si="4"/>
        <v>0</v>
      </c>
      <c r="I85" s="560">
        <f t="shared" si="2"/>
        <v>0</v>
      </c>
      <c r="J85" s="127"/>
    </row>
    <row r="86" spans="1:10">
      <c r="A86" s="116">
        <f t="shared" si="3"/>
        <v>380</v>
      </c>
      <c r="B86" s="104" t="s">
        <v>636</v>
      </c>
      <c r="C86" s="104" t="s">
        <v>1294</v>
      </c>
      <c r="D86" s="104"/>
      <c r="E86" s="560">
        <f>'3. Sources Uses'!F149+0</f>
        <v>0</v>
      </c>
      <c r="F86" s="25">
        <v>0</v>
      </c>
      <c r="G86" s="24">
        <v>0</v>
      </c>
      <c r="H86" s="560">
        <f t="shared" si="4"/>
        <v>0</v>
      </c>
      <c r="I86" s="560">
        <f t="shared" si="2"/>
        <v>0</v>
      </c>
      <c r="J86" s="127"/>
    </row>
    <row r="87" spans="1:10">
      <c r="A87" s="116">
        <f t="shared" si="3"/>
        <v>381</v>
      </c>
      <c r="B87" s="104" t="s">
        <v>636</v>
      </c>
      <c r="C87" s="104" t="s">
        <v>201</v>
      </c>
      <c r="D87" s="104"/>
      <c r="E87" s="560">
        <f>'3. Sources Uses'!F150+0</f>
        <v>0</v>
      </c>
      <c r="F87" s="25">
        <v>0</v>
      </c>
      <c r="G87" s="24">
        <v>0</v>
      </c>
      <c r="H87" s="560">
        <f t="shared" si="4"/>
        <v>0</v>
      </c>
      <c r="I87" s="560">
        <f t="shared" si="2"/>
        <v>0</v>
      </c>
      <c r="J87" s="127"/>
    </row>
    <row r="88" spans="1:10">
      <c r="A88" s="116">
        <f t="shared" si="3"/>
        <v>382</v>
      </c>
      <c r="B88" s="104" t="s">
        <v>636</v>
      </c>
      <c r="C88" s="104" t="s">
        <v>1303</v>
      </c>
      <c r="D88" s="104"/>
      <c r="E88" s="560">
        <f>'3. Sources Uses'!F151+0</f>
        <v>0</v>
      </c>
      <c r="F88" s="25">
        <v>0</v>
      </c>
      <c r="G88" s="24">
        <v>0</v>
      </c>
      <c r="H88" s="560">
        <f t="shared" si="4"/>
        <v>0</v>
      </c>
      <c r="I88" s="560">
        <f t="shared" si="2"/>
        <v>0</v>
      </c>
      <c r="J88" s="127"/>
    </row>
    <row r="89" spans="1:10">
      <c r="A89" s="116">
        <f t="shared" si="3"/>
        <v>383</v>
      </c>
      <c r="B89" s="104" t="s">
        <v>636</v>
      </c>
      <c r="C89" s="104" t="s">
        <v>202</v>
      </c>
      <c r="D89" s="183" t="str">
        <f>'3. Sources Uses'!D152</f>
        <v xml:space="preserve">   </v>
      </c>
      <c r="E89" s="560">
        <f>'3. Sources Uses'!F152+0</f>
        <v>0</v>
      </c>
      <c r="F89" s="25">
        <v>0</v>
      </c>
      <c r="G89" s="24">
        <v>0</v>
      </c>
      <c r="H89" s="560">
        <f t="shared" si="4"/>
        <v>0</v>
      </c>
      <c r="I89" s="560">
        <f t="shared" si="2"/>
        <v>0</v>
      </c>
      <c r="J89" s="127"/>
    </row>
    <row r="90" spans="1:10">
      <c r="A90" s="116">
        <f t="shared" si="3"/>
        <v>384</v>
      </c>
      <c r="B90" s="104" t="s">
        <v>636</v>
      </c>
      <c r="C90" s="104" t="s">
        <v>202</v>
      </c>
      <c r="D90" s="183" t="str">
        <f>'3. Sources Uses'!D153</f>
        <v xml:space="preserve">   </v>
      </c>
      <c r="E90" s="560">
        <f>'3. Sources Uses'!F153+0</f>
        <v>0</v>
      </c>
      <c r="F90" s="25">
        <v>0</v>
      </c>
      <c r="G90" s="24">
        <v>0</v>
      </c>
      <c r="H90" s="560">
        <f t="shared" si="4"/>
        <v>0</v>
      </c>
      <c r="I90" s="560">
        <f t="shared" si="2"/>
        <v>0</v>
      </c>
      <c r="J90" s="127"/>
    </row>
    <row r="91" spans="1:10">
      <c r="A91" s="116">
        <f t="shared" si="3"/>
        <v>385</v>
      </c>
      <c r="B91" s="104" t="s">
        <v>636</v>
      </c>
      <c r="C91" s="104" t="str">
        <f>'3. Sources Uses'!C154</f>
        <v>MIP</v>
      </c>
      <c r="D91" s="104"/>
      <c r="E91" s="560">
        <f>'3. Sources Uses'!F154+0</f>
        <v>0</v>
      </c>
      <c r="F91" s="25">
        <v>0</v>
      </c>
      <c r="G91" s="24">
        <v>0</v>
      </c>
      <c r="H91" s="560">
        <f t="shared" si="4"/>
        <v>0</v>
      </c>
      <c r="I91" s="560">
        <f t="shared" si="2"/>
        <v>0</v>
      </c>
      <c r="J91" s="127"/>
    </row>
    <row r="92" spans="1:10">
      <c r="A92" s="116">
        <f t="shared" si="3"/>
        <v>386</v>
      </c>
      <c r="B92" s="104" t="s">
        <v>636</v>
      </c>
      <c r="C92" s="104" t="s">
        <v>1306</v>
      </c>
      <c r="D92" s="104"/>
      <c r="E92" s="560">
        <f>'3. Sources Uses'!F155+0</f>
        <v>0</v>
      </c>
      <c r="F92" s="25">
        <v>0</v>
      </c>
      <c r="G92" s="24">
        <v>0</v>
      </c>
      <c r="H92" s="560">
        <f t="shared" si="4"/>
        <v>0</v>
      </c>
      <c r="I92" s="560">
        <f t="shared" si="2"/>
        <v>0</v>
      </c>
      <c r="J92" s="127"/>
    </row>
    <row r="93" spans="1:10">
      <c r="A93" s="116">
        <f t="shared" si="3"/>
        <v>387</v>
      </c>
      <c r="B93" s="104" t="s">
        <v>636</v>
      </c>
      <c r="C93" s="104" t="s">
        <v>203</v>
      </c>
      <c r="D93" s="104"/>
      <c r="E93" s="560">
        <f>'3. Sources Uses'!F156+0</f>
        <v>0</v>
      </c>
      <c r="F93" s="25">
        <v>0</v>
      </c>
      <c r="G93" s="24">
        <v>0</v>
      </c>
      <c r="H93" s="560">
        <f t="shared" si="4"/>
        <v>0</v>
      </c>
      <c r="I93" s="560">
        <f t="shared" si="2"/>
        <v>0</v>
      </c>
      <c r="J93" s="127"/>
    </row>
    <row r="94" spans="1:10">
      <c r="A94" s="116">
        <f t="shared" si="3"/>
        <v>388</v>
      </c>
      <c r="B94" s="104" t="s">
        <v>636</v>
      </c>
      <c r="C94" s="104" t="s">
        <v>204</v>
      </c>
      <c r="D94" s="104"/>
      <c r="E94" s="560">
        <f>'3. Sources Uses'!F157+0</f>
        <v>0</v>
      </c>
      <c r="F94" s="25">
        <v>0</v>
      </c>
      <c r="G94" s="24">
        <v>0</v>
      </c>
      <c r="H94" s="560">
        <f t="shared" si="4"/>
        <v>0</v>
      </c>
      <c r="I94" s="560">
        <f t="shared" si="2"/>
        <v>0</v>
      </c>
      <c r="J94" s="127"/>
    </row>
    <row r="95" spans="1:10">
      <c r="A95" s="116">
        <f t="shared" si="3"/>
        <v>389</v>
      </c>
      <c r="B95" s="104" t="s">
        <v>636</v>
      </c>
      <c r="C95" s="104" t="s">
        <v>1309</v>
      </c>
      <c r="D95" s="104"/>
      <c r="E95" s="560">
        <f>'3. Sources Uses'!F158+0</f>
        <v>0</v>
      </c>
      <c r="F95" s="25">
        <v>0</v>
      </c>
      <c r="G95" s="24">
        <v>0</v>
      </c>
      <c r="H95" s="560">
        <f t="shared" si="4"/>
        <v>0</v>
      </c>
      <c r="I95" s="560">
        <f t="shared" si="2"/>
        <v>0</v>
      </c>
      <c r="J95" s="127"/>
    </row>
    <row r="96" spans="1:10">
      <c r="A96" s="116">
        <f t="shared" si="3"/>
        <v>390</v>
      </c>
      <c r="B96" s="104" t="s">
        <v>636</v>
      </c>
      <c r="C96" s="104" t="s">
        <v>205</v>
      </c>
      <c r="D96" s="183" t="str">
        <f>'3. Sources Uses'!D159</f>
        <v xml:space="preserve"> </v>
      </c>
      <c r="E96" s="560">
        <f>'3. Sources Uses'!F159+0</f>
        <v>0</v>
      </c>
      <c r="F96" s="25">
        <v>0</v>
      </c>
      <c r="G96" s="24">
        <v>0</v>
      </c>
      <c r="H96" s="560">
        <f t="shared" si="4"/>
        <v>0</v>
      </c>
      <c r="I96" s="560">
        <f t="shared" si="2"/>
        <v>0</v>
      </c>
      <c r="J96" s="127"/>
    </row>
    <row r="97" spans="1:10">
      <c r="A97" s="116">
        <f t="shared" si="3"/>
        <v>391</v>
      </c>
      <c r="B97" s="104" t="s">
        <v>636</v>
      </c>
      <c r="C97" s="104" t="s">
        <v>205</v>
      </c>
      <c r="D97" s="183" t="str">
        <f>'3. Sources Uses'!D160</f>
        <v xml:space="preserve"> </v>
      </c>
      <c r="E97" s="560">
        <f>'3. Sources Uses'!F160+0</f>
        <v>0</v>
      </c>
      <c r="F97" s="25">
        <v>0</v>
      </c>
      <c r="G97" s="24">
        <v>0</v>
      </c>
      <c r="H97" s="560">
        <f t="shared" si="4"/>
        <v>0</v>
      </c>
      <c r="I97" s="560">
        <f t="shared" si="2"/>
        <v>0</v>
      </c>
      <c r="J97" s="127"/>
    </row>
    <row r="98" spans="1:10">
      <c r="A98" s="116">
        <f t="shared" si="3"/>
        <v>392</v>
      </c>
      <c r="B98" s="104" t="s">
        <v>636</v>
      </c>
      <c r="C98" s="104" t="s">
        <v>206</v>
      </c>
      <c r="D98" s="104"/>
      <c r="E98" s="560">
        <f>'3. Sources Uses'!F161+0</f>
        <v>0</v>
      </c>
      <c r="F98" s="25">
        <v>0</v>
      </c>
      <c r="G98" s="24">
        <v>0</v>
      </c>
      <c r="H98" s="560">
        <f t="shared" si="4"/>
        <v>0</v>
      </c>
      <c r="I98" s="560">
        <f t="shared" si="2"/>
        <v>0</v>
      </c>
      <c r="J98" s="127"/>
    </row>
    <row r="99" spans="1:10">
      <c r="A99" s="116">
        <f t="shared" si="3"/>
        <v>393</v>
      </c>
      <c r="B99" s="104" t="s">
        <v>636</v>
      </c>
      <c r="C99" s="153" t="s">
        <v>1312</v>
      </c>
      <c r="D99" s="104"/>
      <c r="E99" s="560">
        <f>'3. Sources Uses'!F162+0</f>
        <v>0</v>
      </c>
      <c r="F99" s="104"/>
      <c r="G99" s="560">
        <f>SUM(G73:G98)</f>
        <v>0</v>
      </c>
      <c r="H99" s="560">
        <f>SUM(H73:H98)</f>
        <v>0</v>
      </c>
      <c r="I99" s="560">
        <f>SUM(I73:I98)</f>
        <v>0</v>
      </c>
      <c r="J99" s="127"/>
    </row>
    <row r="100" spans="1:10">
      <c r="A100" s="116"/>
      <c r="B100" s="104"/>
      <c r="C100" s="80"/>
      <c r="D100" s="80"/>
      <c r="E100" s="80"/>
      <c r="F100" s="80"/>
      <c r="G100" s="80"/>
      <c r="H100" s="80"/>
      <c r="I100" s="80"/>
      <c r="J100" s="83"/>
    </row>
    <row r="101" spans="1:10">
      <c r="A101" s="116">
        <f>A99+1</f>
        <v>394</v>
      </c>
      <c r="B101" s="104" t="s">
        <v>636</v>
      </c>
      <c r="C101" s="153" t="s">
        <v>1313</v>
      </c>
      <c r="D101" s="104"/>
      <c r="E101" s="560">
        <f>'3. Sources Uses'!F164+0</f>
        <v>0</v>
      </c>
      <c r="F101" s="104"/>
      <c r="G101" s="560">
        <f>G66+G70+G99</f>
        <v>0</v>
      </c>
      <c r="H101" s="560">
        <f>H66+H70+H99</f>
        <v>0</v>
      </c>
      <c r="I101" s="560">
        <f>I66+I70+I99</f>
        <v>0</v>
      </c>
      <c r="J101" s="127"/>
    </row>
    <row r="102" spans="1:10">
      <c r="A102" s="116"/>
      <c r="B102" s="104"/>
      <c r="C102" s="153" t="s">
        <v>1314</v>
      </c>
      <c r="D102" s="104"/>
      <c r="E102" s="104"/>
      <c r="F102" s="104"/>
      <c r="G102" s="104"/>
      <c r="H102" s="104"/>
      <c r="I102" s="104"/>
      <c r="J102" s="127"/>
    </row>
    <row r="103" spans="1:10">
      <c r="A103" s="116"/>
      <c r="B103" s="104"/>
      <c r="C103" s="80"/>
      <c r="D103" s="80"/>
      <c r="E103" s="80"/>
      <c r="F103" s="80"/>
      <c r="G103" s="80"/>
      <c r="H103" s="80"/>
      <c r="I103" s="80"/>
      <c r="J103" s="83"/>
    </row>
    <row r="104" spans="1:10">
      <c r="A104" s="116">
        <f>A101+1</f>
        <v>395</v>
      </c>
      <c r="B104" s="104" t="s">
        <v>636</v>
      </c>
      <c r="C104" s="104" t="s">
        <v>1316</v>
      </c>
      <c r="D104" s="104"/>
      <c r="E104" s="560">
        <f>'3. Sources Uses'!F168</f>
        <v>0</v>
      </c>
      <c r="F104" s="104"/>
      <c r="G104" s="24">
        <v>0</v>
      </c>
      <c r="H104" s="560">
        <f>E104-G104-I104</f>
        <v>0</v>
      </c>
      <c r="I104" s="24">
        <v>0</v>
      </c>
      <c r="J104" s="127"/>
    </row>
    <row r="105" spans="1:10">
      <c r="A105" s="116">
        <f>A104+1</f>
        <v>396</v>
      </c>
      <c r="B105" s="104" t="s">
        <v>636</v>
      </c>
      <c r="C105" s="104" t="s">
        <v>47</v>
      </c>
      <c r="D105" s="104"/>
      <c r="E105" s="560">
        <f>MINA('3. Sources Uses'!F169,(+E101-E64)*0.15-E104)</f>
        <v>0</v>
      </c>
      <c r="F105" s="104"/>
      <c r="G105" s="24">
        <v>0</v>
      </c>
      <c r="H105" s="560">
        <f>E105-G105-I105</f>
        <v>0</v>
      </c>
      <c r="I105" s="24">
        <v>0</v>
      </c>
      <c r="J105" s="127"/>
    </row>
    <row r="106" spans="1:10">
      <c r="A106" s="116">
        <f>A105+1</f>
        <v>397</v>
      </c>
      <c r="B106" s="104" t="s">
        <v>636</v>
      </c>
      <c r="C106" s="104" t="s">
        <v>1315</v>
      </c>
      <c r="D106" s="80"/>
      <c r="E106" s="560">
        <f>'3. Sources Uses'!F167</f>
        <v>0</v>
      </c>
      <c r="F106" s="80"/>
      <c r="G106" s="24">
        <v>0</v>
      </c>
      <c r="H106" s="560">
        <f>E106-G106-I106</f>
        <v>0</v>
      </c>
      <c r="I106" s="24">
        <v>0</v>
      </c>
      <c r="J106" s="83"/>
    </row>
    <row r="107" spans="1:10">
      <c r="A107" s="116"/>
      <c r="B107" s="104"/>
      <c r="C107" s="80"/>
      <c r="D107" s="80"/>
      <c r="E107" s="80"/>
      <c r="F107" s="80"/>
      <c r="G107" s="80"/>
      <c r="H107" s="80"/>
      <c r="I107" s="80"/>
      <c r="J107" s="83"/>
    </row>
    <row r="108" spans="1:10">
      <c r="A108" s="116">
        <f>A106+1</f>
        <v>398</v>
      </c>
      <c r="B108" s="104" t="s">
        <v>636</v>
      </c>
      <c r="C108" s="153" t="s">
        <v>1318</v>
      </c>
      <c r="D108" s="104"/>
      <c r="E108" s="560">
        <f>'3. Sources Uses'!F171+0</f>
        <v>0</v>
      </c>
      <c r="F108" s="104"/>
      <c r="G108" s="104"/>
      <c r="H108" s="104"/>
      <c r="I108" s="104"/>
      <c r="J108" s="83"/>
    </row>
    <row r="109" spans="1:10">
      <c r="A109" s="302"/>
      <c r="B109" s="222"/>
      <c r="C109" s="250"/>
      <c r="D109" s="250"/>
      <c r="E109" s="250"/>
      <c r="F109" s="250"/>
      <c r="G109" s="250"/>
      <c r="H109" s="250"/>
      <c r="I109" s="250"/>
      <c r="J109" s="83"/>
    </row>
    <row r="110" spans="1:10">
      <c r="A110" s="116">
        <f>A108+1</f>
        <v>399</v>
      </c>
      <c r="B110" s="104" t="s">
        <v>636</v>
      </c>
      <c r="C110" s="153" t="s">
        <v>532</v>
      </c>
      <c r="D110" s="104"/>
      <c r="E110" s="560">
        <f>'3. Sources Uses'!F173+0</f>
        <v>0</v>
      </c>
      <c r="F110" s="272"/>
      <c r="G110" s="104"/>
      <c r="H110" s="104"/>
      <c r="I110" s="104"/>
      <c r="J110" s="83"/>
    </row>
    <row r="111" spans="1:10" ht="13.5" thickBot="1">
      <c r="A111" s="116"/>
      <c r="B111" s="104"/>
      <c r="C111" s="202"/>
      <c r="D111" s="202"/>
      <c r="E111" s="80"/>
      <c r="F111" s="80"/>
      <c r="G111" s="80"/>
      <c r="H111" s="80"/>
      <c r="I111" s="80"/>
      <c r="J111" s="83"/>
    </row>
    <row r="112" spans="1:10" ht="13.5" thickBot="1">
      <c r="A112" s="116">
        <f>A110+1</f>
        <v>400</v>
      </c>
      <c r="B112" s="104" t="s">
        <v>636</v>
      </c>
      <c r="C112" s="153" t="s">
        <v>207</v>
      </c>
      <c r="D112" s="104"/>
      <c r="E112" s="560">
        <f>SUM(G112:H112)</f>
        <v>0</v>
      </c>
      <c r="F112" s="104"/>
      <c r="G112" s="562">
        <f>G101+SUM(G104:G106)</f>
        <v>0</v>
      </c>
      <c r="H112" s="562">
        <f>H101+SUM(H104:H106)</f>
        <v>0</v>
      </c>
      <c r="I112" s="104"/>
      <c r="J112" s="83"/>
    </row>
    <row r="113" spans="1:10">
      <c r="A113" s="116"/>
      <c r="B113" s="104"/>
      <c r="C113" s="80"/>
      <c r="D113" s="80"/>
      <c r="E113" s="80"/>
      <c r="F113" s="80"/>
      <c r="G113" s="80"/>
      <c r="H113" s="80"/>
      <c r="I113" s="80"/>
      <c r="J113" s="83"/>
    </row>
    <row r="114" spans="1:10">
      <c r="A114" s="116"/>
      <c r="B114" s="222"/>
      <c r="C114" s="104"/>
      <c r="D114" s="80"/>
      <c r="E114" s="80"/>
      <c r="F114" s="80"/>
      <c r="G114" s="80"/>
      <c r="H114" s="80"/>
      <c r="I114" s="80"/>
      <c r="J114" s="83"/>
    </row>
    <row r="115" spans="1:10">
      <c r="A115" s="116"/>
      <c r="B115" s="471" t="s">
        <v>701</v>
      </c>
      <c r="C115" s="104"/>
      <c r="D115" s="104"/>
      <c r="E115" s="104"/>
      <c r="F115" s="104"/>
      <c r="G115" s="104"/>
      <c r="H115" s="104"/>
      <c r="I115" s="104"/>
      <c r="J115" s="127"/>
    </row>
    <row r="116" spans="1:10">
      <c r="A116" s="116"/>
      <c r="B116" s="104"/>
      <c r="C116" s="104"/>
      <c r="D116" s="104"/>
      <c r="E116" s="104"/>
      <c r="F116" s="104"/>
      <c r="G116" s="104"/>
      <c r="H116" s="104"/>
      <c r="I116" s="104"/>
      <c r="J116" s="127"/>
    </row>
    <row r="117" spans="1:10">
      <c r="A117" s="116"/>
      <c r="B117" s="104"/>
      <c r="C117" s="104"/>
      <c r="D117" s="104"/>
      <c r="E117" s="104"/>
      <c r="F117" s="104"/>
      <c r="G117" s="104"/>
      <c r="H117" s="104"/>
      <c r="I117" s="104"/>
      <c r="J117" s="127"/>
    </row>
    <row r="118" spans="1:10" ht="13.5" thickBot="1">
      <c r="A118" s="131"/>
      <c r="B118" s="563" t="s">
        <v>1305</v>
      </c>
      <c r="C118" s="563"/>
      <c r="D118" s="563"/>
      <c r="E118" s="563"/>
      <c r="F118" s="563"/>
      <c r="G118" s="563"/>
      <c r="H118" s="563"/>
      <c r="I118" s="563"/>
      <c r="J118" s="564"/>
    </row>
    <row r="119" spans="1:10">
      <c r="A119" s="104"/>
      <c r="B119" s="471">
        <f>PROJNAME</f>
        <v>0</v>
      </c>
      <c r="C119" s="139"/>
      <c r="D119" s="252"/>
      <c r="E119" s="252"/>
      <c r="F119" s="252"/>
      <c r="G119" s="252"/>
      <c r="H119" s="137" t="e">
        <f>$H$56</f>
        <v>#VALUE!</v>
      </c>
      <c r="I119" s="1280" t="e">
        <f>$I$56</f>
        <v>#VALUE!</v>
      </c>
      <c r="J119" s="1280"/>
    </row>
  </sheetData>
  <mergeCells count="3">
    <mergeCell ref="C53:I54"/>
    <mergeCell ref="I56:J56"/>
    <mergeCell ref="I119:J119"/>
  </mergeCells>
  <phoneticPr fontId="140" type="noConversion"/>
  <conditionalFormatting sqref="H28">
    <cfRule type="expression" dxfId="0" priority="1" stopIfTrue="1">
      <formula>H27="No"</formula>
    </cfRule>
  </conditionalFormatting>
  <printOptions horizontalCentered="1" gridLinesSet="0"/>
  <pageMargins left="7.0000000000000007E-2" right="7.0000000000000007E-2" top="7.0000000000000007E-2" bottom="7.0000000000000007E-2" header="7.0000000000000007E-2" footer="7.0000000000000007E-2"/>
  <pageSetup orientation="portrait" blackAndWhite="1" horizontalDpi="300" verticalDpi="300" r:id="rId1"/>
  <headerFooter alignWithMargins="0"/>
  <rowBreaks count="1" manualBreakCount="1">
    <brk id="56" max="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ransitionEntry="1" codeName="Sheet7">
    <pageSetUpPr autoPageBreaks="0"/>
  </sheetPr>
  <dimension ref="A1:K124"/>
  <sheetViews>
    <sheetView showGridLines="0" zoomScaleNormal="100" workbookViewId="0">
      <pane ySplit="3" topLeftCell="A4" activePane="bottomLeft" state="frozen"/>
      <selection pane="bottomLeft" activeCell="N24" sqref="N24"/>
    </sheetView>
  </sheetViews>
  <sheetFormatPr defaultColWidth="9.6640625" defaultRowHeight="12.75"/>
  <cols>
    <col min="1" max="1" width="3.6640625" style="101" customWidth="1"/>
    <col min="2" max="2" width="1.6640625" style="101" customWidth="1"/>
    <col min="3" max="3" width="14" style="103" customWidth="1"/>
    <col min="4" max="4" width="22.83203125" style="103" customWidth="1"/>
    <col min="5" max="5" width="9.83203125" style="103" customWidth="1"/>
    <col min="6" max="6" width="14.83203125" style="103" customWidth="1"/>
    <col min="7" max="7" width="9.83203125" style="103" customWidth="1"/>
    <col min="8" max="8" width="32.33203125" style="429" customWidth="1"/>
    <col min="9" max="9" width="9.6640625" style="103" customWidth="1"/>
    <col min="10" max="10" width="2.6640625" style="103" customWidth="1"/>
    <col min="11" max="11" width="24.6640625" style="924" customWidth="1"/>
    <col min="12" max="16384" width="9.6640625" style="103"/>
  </cols>
  <sheetData>
    <row r="1" spans="1:11" s="85" customFormat="1">
      <c r="A1" s="63" t="str">
        <f>'2. Dev. Team'!A1</f>
        <v>One Stop2000 Affordable Housing Finance Application [Version 1.21] ©</v>
      </c>
      <c r="B1" s="52"/>
      <c r="C1" s="80"/>
      <c r="D1" s="80"/>
      <c r="E1" s="80"/>
      <c r="F1" s="80"/>
      <c r="G1" s="80"/>
      <c r="H1" s="220"/>
      <c r="I1" s="119" t="s">
        <v>208</v>
      </c>
      <c r="J1" s="80"/>
      <c r="K1" s="924"/>
    </row>
    <row r="2" spans="1:11" ht="25.5">
      <c r="A2" s="243" t="s">
        <v>209</v>
      </c>
      <c r="B2" s="244"/>
      <c r="C2" s="68"/>
      <c r="D2" s="417"/>
      <c r="E2" s="417"/>
      <c r="F2" s="418"/>
      <c r="G2" s="418"/>
      <c r="H2" s="645"/>
      <c r="I2" s="417"/>
      <c r="J2" s="417"/>
    </row>
    <row r="3" spans="1:11" ht="27" thickBot="1">
      <c r="A3" s="1346" t="s">
        <v>210</v>
      </c>
      <c r="B3" s="1346"/>
      <c r="C3" s="1346"/>
      <c r="D3" s="1346"/>
      <c r="E3" s="1346"/>
      <c r="F3" s="1346"/>
      <c r="G3" s="1346"/>
      <c r="H3" s="1346"/>
      <c r="I3" s="1346"/>
      <c r="J3" s="1346"/>
    </row>
    <row r="4" spans="1:11" s="85" customFormat="1" ht="12">
      <c r="A4" s="646"/>
      <c r="B4" s="647"/>
      <c r="C4" s="647"/>
      <c r="D4" s="647"/>
      <c r="E4" s="647"/>
      <c r="F4" s="647"/>
      <c r="G4" s="647"/>
      <c r="H4" s="648"/>
      <c r="I4" s="647"/>
      <c r="J4" s="649"/>
      <c r="K4" s="924"/>
    </row>
    <row r="5" spans="1:11" s="84" customFormat="1" ht="15">
      <c r="A5" s="584"/>
      <c r="B5" s="585" t="s">
        <v>1377</v>
      </c>
      <c r="C5" s="650"/>
      <c r="D5" s="650"/>
      <c r="E5" s="650"/>
      <c r="F5" s="650"/>
      <c r="G5" s="650"/>
      <c r="H5" s="651"/>
      <c r="I5" s="650"/>
      <c r="J5" s="652"/>
      <c r="K5" s="924"/>
    </row>
    <row r="6" spans="1:11" s="84" customFormat="1" ht="15">
      <c r="A6" s="584"/>
      <c r="B6" s="585"/>
      <c r="C6" s="650"/>
      <c r="D6" s="650"/>
      <c r="E6" s="650"/>
      <c r="F6" s="650"/>
      <c r="G6" s="650"/>
      <c r="H6" s="651"/>
      <c r="I6" s="650"/>
      <c r="J6" s="652"/>
      <c r="K6" s="924"/>
    </row>
    <row r="7" spans="1:11" s="84" customFormat="1" ht="15">
      <c r="A7" s="584"/>
      <c r="B7" s="585"/>
      <c r="C7" s="650" t="s">
        <v>211</v>
      </c>
      <c r="D7" s="650"/>
      <c r="E7" s="650"/>
      <c r="F7" s="650"/>
      <c r="G7" s="650"/>
      <c r="H7" s="651"/>
      <c r="I7" s="650"/>
      <c r="J7" s="652"/>
      <c r="K7" s="923" t="s">
        <v>629</v>
      </c>
    </row>
    <row r="8" spans="1:11" s="84" customFormat="1" ht="15">
      <c r="A8" s="584"/>
      <c r="B8" s="585"/>
      <c r="C8" s="650"/>
      <c r="D8" s="881" t="s">
        <v>1461</v>
      </c>
      <c r="E8" s="881"/>
      <c r="F8" s="881"/>
      <c r="G8" s="881"/>
      <c r="H8" s="41" t="s">
        <v>702</v>
      </c>
      <c r="I8" s="650"/>
      <c r="J8" s="652"/>
      <c r="K8" s="924"/>
    </row>
    <row r="9" spans="1:11" s="84" customFormat="1" ht="15">
      <c r="A9" s="584"/>
      <c r="B9" s="585"/>
      <c r="C9" s="650"/>
      <c r="D9" s="881" t="s">
        <v>1462</v>
      </c>
      <c r="E9" s="881"/>
      <c r="F9" s="881"/>
      <c r="G9" s="881"/>
      <c r="H9" s="41" t="s">
        <v>702</v>
      </c>
      <c r="I9" s="650"/>
      <c r="J9" s="652"/>
      <c r="K9" s="923"/>
    </row>
    <row r="10" spans="1:11" s="84" customFormat="1" ht="15">
      <c r="A10" s="584"/>
      <c r="B10" s="585"/>
      <c r="C10" s="650"/>
      <c r="D10" s="881" t="s">
        <v>1463</v>
      </c>
      <c r="E10" s="881"/>
      <c r="F10" s="881"/>
      <c r="G10" s="881"/>
      <c r="H10" s="41" t="s">
        <v>702</v>
      </c>
      <c r="I10" s="650"/>
      <c r="J10" s="652"/>
      <c r="K10" s="923"/>
    </row>
    <row r="11" spans="1:11" ht="15">
      <c r="A11" s="584"/>
      <c r="B11" s="585"/>
      <c r="C11" s="585"/>
      <c r="D11" s="881" t="s">
        <v>1464</v>
      </c>
      <c r="E11" s="881"/>
      <c r="F11" s="881"/>
      <c r="G11" s="881"/>
      <c r="H11" s="41" t="s">
        <v>702</v>
      </c>
      <c r="I11" s="577"/>
      <c r="J11" s="579"/>
      <c r="K11" s="923"/>
    </row>
    <row r="12" spans="1:11">
      <c r="A12" s="584"/>
      <c r="B12" s="585"/>
      <c r="C12" s="585"/>
      <c r="D12" s="585"/>
      <c r="E12" s="577"/>
      <c r="F12" s="577"/>
      <c r="H12" s="611" t="s">
        <v>646</v>
      </c>
      <c r="I12" s="577"/>
      <c r="J12" s="579"/>
    </row>
    <row r="13" spans="1:11" s="84" customFormat="1" ht="15">
      <c r="A13" s="653"/>
      <c r="B13" s="650"/>
      <c r="C13" s="650" t="s">
        <v>212</v>
      </c>
      <c r="D13" s="650"/>
      <c r="E13" s="650"/>
      <c r="F13" s="650"/>
      <c r="H13" s="654"/>
      <c r="I13" s="650"/>
      <c r="J13" s="652"/>
      <c r="K13" s="923" t="s">
        <v>629</v>
      </c>
    </row>
    <row r="14" spans="1:11" s="84" customFormat="1" ht="15">
      <c r="A14" s="653"/>
      <c r="B14" s="650"/>
      <c r="C14" s="650"/>
      <c r="D14" s="881" t="s">
        <v>1465</v>
      </c>
      <c r="E14" s="881"/>
      <c r="F14" s="881"/>
      <c r="G14" s="881"/>
      <c r="H14" s="41" t="s">
        <v>702</v>
      </c>
      <c r="I14" s="650"/>
      <c r="J14" s="652"/>
      <c r="K14" s="924"/>
    </row>
    <row r="15" spans="1:11" s="84" customFormat="1" ht="15">
      <c r="A15" s="653"/>
      <c r="B15" s="650"/>
      <c r="C15" s="650"/>
      <c r="D15" s="881" t="s">
        <v>1466</v>
      </c>
      <c r="E15" s="881"/>
      <c r="F15" s="881"/>
      <c r="G15" s="881"/>
      <c r="H15" s="41" t="s">
        <v>702</v>
      </c>
      <c r="I15" s="650"/>
      <c r="J15" s="652"/>
      <c r="K15" s="924"/>
    </row>
    <row r="16" spans="1:11" s="84" customFormat="1" ht="15">
      <c r="A16" s="653"/>
      <c r="B16" s="650"/>
      <c r="C16" s="650"/>
      <c r="D16" s="881" t="s">
        <v>1467</v>
      </c>
      <c r="E16" s="881"/>
      <c r="F16" s="881"/>
      <c r="G16" s="881"/>
      <c r="H16" s="41" t="s">
        <v>702</v>
      </c>
      <c r="I16" s="650"/>
      <c r="J16" s="652"/>
      <c r="K16" s="924"/>
    </row>
    <row r="17" spans="1:11" s="84" customFormat="1" ht="15">
      <c r="A17" s="653"/>
      <c r="B17" s="650"/>
      <c r="C17" s="650"/>
      <c r="D17" s="881" t="s">
        <v>1468</v>
      </c>
      <c r="E17" s="881"/>
      <c r="F17" s="881"/>
      <c r="G17" s="881"/>
      <c r="H17" s="41" t="s">
        <v>702</v>
      </c>
      <c r="I17" s="650"/>
      <c r="J17" s="652"/>
      <c r="K17" s="924"/>
    </row>
    <row r="18" spans="1:11" s="84" customFormat="1" ht="15">
      <c r="A18" s="653"/>
      <c r="B18" s="650"/>
      <c r="C18" s="650"/>
      <c r="D18" s="881" t="s">
        <v>1469</v>
      </c>
      <c r="E18" s="881"/>
      <c r="F18" s="881"/>
      <c r="G18" s="881"/>
      <c r="H18" s="41" t="s">
        <v>702</v>
      </c>
      <c r="I18" s="650"/>
      <c r="J18" s="652"/>
      <c r="K18" s="924"/>
    </row>
    <row r="19" spans="1:11" s="84" customFormat="1" ht="15">
      <c r="A19" s="653"/>
      <c r="B19" s="650"/>
      <c r="C19" s="650"/>
      <c r="D19" s="881" t="s">
        <v>1470</v>
      </c>
      <c r="E19" s="881"/>
      <c r="F19" s="881"/>
      <c r="G19" s="881"/>
      <c r="H19" s="41" t="s">
        <v>702</v>
      </c>
      <c r="I19" s="650"/>
      <c r="J19" s="652"/>
      <c r="K19" s="924"/>
    </row>
    <row r="20" spans="1:11" s="84" customFormat="1" ht="15">
      <c r="A20" s="653"/>
      <c r="B20" s="650"/>
      <c r="C20" s="650"/>
      <c r="D20" s="881" t="s">
        <v>1471</v>
      </c>
      <c r="E20" s="881"/>
      <c r="F20" s="881"/>
      <c r="G20" s="881"/>
      <c r="H20" s="41" t="s">
        <v>702</v>
      </c>
      <c r="I20" s="650"/>
      <c r="J20" s="652"/>
      <c r="K20" s="924"/>
    </row>
    <row r="21" spans="1:11" s="84" customFormat="1" ht="15">
      <c r="A21" s="653"/>
      <c r="B21" s="650"/>
      <c r="C21" s="650"/>
      <c r="D21" s="881" t="s">
        <v>1472</v>
      </c>
      <c r="E21" s="881"/>
      <c r="F21" s="881"/>
      <c r="G21" s="881"/>
      <c r="H21" s="883" t="s">
        <v>702</v>
      </c>
      <c r="I21" s="650"/>
      <c r="J21" s="652"/>
      <c r="K21" s="924"/>
    </row>
    <row r="22" spans="1:11" s="84" customFormat="1" ht="15">
      <c r="A22" s="653"/>
      <c r="B22" s="650"/>
      <c r="C22" s="650"/>
      <c r="D22" s="882" t="s">
        <v>225</v>
      </c>
      <c r="E22" s="882"/>
      <c r="F22" s="882"/>
      <c r="G22" s="882"/>
      <c r="H22" s="654"/>
      <c r="I22" s="650"/>
      <c r="J22" s="652"/>
      <c r="K22" s="924"/>
    </row>
    <row r="23" spans="1:11" s="84" customFormat="1" ht="15">
      <c r="A23" s="653"/>
      <c r="B23" s="650"/>
      <c r="C23" s="650"/>
      <c r="D23" s="881" t="s">
        <v>1474</v>
      </c>
      <c r="E23" s="881"/>
      <c r="F23" s="881"/>
      <c r="G23" s="881"/>
      <c r="H23" s="41" t="s">
        <v>702</v>
      </c>
      <c r="I23" s="650"/>
      <c r="J23" s="652"/>
      <c r="K23" s="924"/>
    </row>
    <row r="24" spans="1:11" s="84" customFormat="1" ht="15">
      <c r="A24" s="653"/>
      <c r="B24" s="650"/>
      <c r="C24" s="650"/>
      <c r="D24" s="881" t="s">
        <v>1473</v>
      </c>
      <c r="E24" s="881"/>
      <c r="F24" s="881"/>
      <c r="G24" s="881"/>
      <c r="H24" s="41" t="s">
        <v>702</v>
      </c>
      <c r="I24" s="650"/>
      <c r="J24" s="652"/>
      <c r="K24" s="924"/>
    </row>
    <row r="25" spans="1:11" ht="15.75">
      <c r="A25" s="584"/>
      <c r="B25" s="585"/>
      <c r="C25" s="241"/>
      <c r="D25" s="241"/>
      <c r="E25" s="241"/>
      <c r="F25" s="241"/>
      <c r="H25" s="655"/>
      <c r="I25" s="577"/>
      <c r="J25" s="579"/>
    </row>
    <row r="26" spans="1:11" s="84" customFormat="1" ht="15">
      <c r="A26" s="584"/>
      <c r="B26" s="585"/>
      <c r="C26" s="881" t="s">
        <v>1475</v>
      </c>
      <c r="D26" s="881"/>
      <c r="E26" s="881"/>
      <c r="F26" s="881"/>
      <c r="G26" s="881"/>
      <c r="H26" s="41" t="s">
        <v>702</v>
      </c>
      <c r="I26" s="650"/>
      <c r="J26" s="652"/>
      <c r="K26" s="923" t="str">
        <f>IF(OR(DHCD="Yes",DHCDHome="Yes",official_action="Yes",mortagage_funding="Yes",permanent_rental="Yes",DND="Yes"),"Required exhibit.",IF(OR(Debt_financing="Yes",tax_credit="Yes"),"Exhibit required later, not now.",""))</f>
        <v/>
      </c>
    </row>
    <row r="27" spans="1:11" s="85" customFormat="1" ht="12">
      <c r="A27" s="656"/>
      <c r="B27" s="657"/>
      <c r="C27" s="657"/>
      <c r="D27" s="657"/>
      <c r="E27" s="657"/>
      <c r="F27" s="657"/>
      <c r="H27" s="658"/>
      <c r="I27" s="657"/>
      <c r="J27" s="659"/>
      <c r="K27" s="924"/>
    </row>
    <row r="28" spans="1:11" s="84" customFormat="1" ht="15">
      <c r="A28" s="584"/>
      <c r="B28" s="585"/>
      <c r="C28" s="881" t="s">
        <v>1477</v>
      </c>
      <c r="D28" s="881"/>
      <c r="E28" s="881"/>
      <c r="F28" s="881"/>
      <c r="G28" s="881"/>
      <c r="H28" s="41" t="s">
        <v>702</v>
      </c>
      <c r="I28" s="650"/>
      <c r="J28" s="652"/>
      <c r="K28" s="923" t="s">
        <v>629</v>
      </c>
    </row>
    <row r="29" spans="1:11" s="85" customFormat="1" ht="12">
      <c r="A29" s="656"/>
      <c r="B29" s="657"/>
      <c r="C29" s="657"/>
      <c r="D29" s="657"/>
      <c r="E29" s="657"/>
      <c r="F29" s="657"/>
      <c r="H29" s="658"/>
      <c r="I29" s="657"/>
      <c r="J29" s="659"/>
      <c r="K29" s="924"/>
    </row>
    <row r="30" spans="1:11" s="84" customFormat="1" ht="15">
      <c r="A30" s="584"/>
      <c r="B30" s="585"/>
      <c r="C30" s="881" t="s">
        <v>1476</v>
      </c>
      <c r="D30" s="881"/>
      <c r="E30" s="881"/>
      <c r="F30" s="881"/>
      <c r="G30" s="881"/>
      <c r="H30" s="41" t="s">
        <v>702</v>
      </c>
      <c r="I30" s="650"/>
      <c r="J30" s="652"/>
      <c r="K30" s="923" t="str">
        <f>IF(OR(DHCD="Yes",DHCDHome="Yes",mortagage_funding="Yes",permanent_rental="Yes",Debt_financing="Yes",tax_credit="Yes"),"Required exhibit.",IF(OR(DND="Yes",official_action="Yes"),"Exhibit not required.",""))</f>
        <v/>
      </c>
    </row>
    <row r="31" spans="1:11" s="85" customFormat="1" ht="12">
      <c r="A31" s="656"/>
      <c r="B31" s="657"/>
      <c r="C31" s="657"/>
      <c r="D31" s="657"/>
      <c r="E31" s="657"/>
      <c r="F31" s="657"/>
      <c r="H31" s="658"/>
      <c r="I31" s="657"/>
      <c r="J31" s="659"/>
      <c r="K31" s="924"/>
    </row>
    <row r="32" spans="1:11" s="84" customFormat="1" ht="15">
      <c r="A32" s="584"/>
      <c r="B32" s="585"/>
      <c r="C32" s="881" t="s">
        <v>1478</v>
      </c>
      <c r="D32" s="881"/>
      <c r="E32" s="881"/>
      <c r="F32" s="881"/>
      <c r="G32" s="881"/>
      <c r="H32" s="41" t="s">
        <v>753</v>
      </c>
      <c r="I32" s="650"/>
      <c r="J32" s="652"/>
      <c r="K32" s="923" t="str">
        <f>IF(OR(DHCD="Yes",DHCDHome="Yes",mortagage_funding="Yes",Debt_financing="Yes",tax_credit="Yes",permanent_rental="Yes",DND="Yes"),"Required exhibit.",IF(official_action="Yes","Exhibit not required.",""))</f>
        <v/>
      </c>
    </row>
    <row r="33" spans="1:11" s="85" customFormat="1" ht="12">
      <c r="A33" s="656"/>
      <c r="B33" s="657"/>
      <c r="C33" s="657"/>
      <c r="D33" s="657"/>
      <c r="E33" s="657"/>
      <c r="F33" s="657"/>
      <c r="H33" s="658"/>
      <c r="I33" s="657"/>
      <c r="J33" s="659"/>
      <c r="K33" s="924"/>
    </row>
    <row r="34" spans="1:11" s="84" customFormat="1" ht="15">
      <c r="A34" s="584"/>
      <c r="B34" s="585"/>
      <c r="C34" s="881" t="s">
        <v>1479</v>
      </c>
      <c r="D34" s="881"/>
      <c r="E34" s="881"/>
      <c r="F34" s="881"/>
      <c r="G34" s="881"/>
      <c r="H34" s="41" t="s">
        <v>702</v>
      </c>
      <c r="I34" s="650"/>
      <c r="J34" s="652"/>
      <c r="K34" s="923" t="str">
        <f>IF(OR(DHCD="Yes",DHCDHome="Yes",mortagage_funding="Yes"),"Required exhibit.",IF(OR(permanent_rental="Yes",Debt_financing="Yes",tax_credit="Yes",DND="Yes"),"Not required now, will be required later.",IF(official_action="Yes","Exhibit not required.","")))</f>
        <v/>
      </c>
    </row>
    <row r="35" spans="1:11" s="85" customFormat="1" ht="12">
      <c r="A35" s="656"/>
      <c r="B35" s="657"/>
      <c r="C35" s="657"/>
      <c r="D35" s="657"/>
      <c r="E35" s="657"/>
      <c r="F35" s="657"/>
      <c r="H35" s="658"/>
      <c r="I35" s="657"/>
      <c r="J35" s="659"/>
      <c r="K35" s="924"/>
    </row>
    <row r="36" spans="1:11" s="84" customFormat="1" ht="15">
      <c r="A36" s="584"/>
      <c r="B36" s="585"/>
      <c r="C36" s="881" t="s">
        <v>1480</v>
      </c>
      <c r="D36" s="881"/>
      <c r="E36" s="881"/>
      <c r="F36" s="881"/>
      <c r="G36" s="881"/>
      <c r="H36" s="41" t="s">
        <v>702</v>
      </c>
      <c r="I36" s="650"/>
      <c r="J36" s="652"/>
      <c r="K36" s="923" t="str">
        <f>IF(OR(DHCD="Yes",DHCDHome="Yes",mortagage_funding="Yes",permanent_rental="Yes",Debt_financing="Yes"),"Required exhibit.",IF(OR(tax_credit="Yes",DND="Yes"),"Not required now, will be required later.",IF(OR(permanent_rental="Yes",official_action="Yes"),"Exhibit not required.","")))</f>
        <v/>
      </c>
    </row>
    <row r="37" spans="1:11" s="85" customFormat="1" ht="12">
      <c r="A37" s="656"/>
      <c r="B37" s="657"/>
      <c r="C37" s="657"/>
      <c r="D37" s="657"/>
      <c r="E37" s="657"/>
      <c r="F37" s="657"/>
      <c r="H37" s="658"/>
      <c r="I37" s="657"/>
      <c r="J37" s="659"/>
      <c r="K37" s="924"/>
    </row>
    <row r="38" spans="1:11" s="84" customFormat="1" ht="15">
      <c r="A38" s="584"/>
      <c r="B38" s="585"/>
      <c r="C38" s="881" t="s">
        <v>1481</v>
      </c>
      <c r="D38" s="881"/>
      <c r="E38" s="881"/>
      <c r="F38" s="881"/>
      <c r="G38" s="881"/>
      <c r="H38" s="41" t="s">
        <v>754</v>
      </c>
      <c r="I38" s="650"/>
      <c r="J38" s="652"/>
      <c r="K38" s="923" t="str">
        <f>IF(OR(DHCD="Yes",DHCDHome="Yes",mortagage_funding="Yes",DND="Yes"),"Required exhibit.",IF(OR(permanent_rental="Yes",Debt_financing="Yes",tax_credit="Yes"),"Exhibit required later, not now.",IF(official_action="Yes","Exhibit not required.","")))</f>
        <v/>
      </c>
    </row>
    <row r="39" spans="1:11" s="85" customFormat="1" ht="12">
      <c r="A39" s="656"/>
      <c r="B39" s="657"/>
      <c r="C39" s="657"/>
      <c r="D39" s="657"/>
      <c r="E39" s="657"/>
      <c r="F39" s="657"/>
      <c r="H39" s="658"/>
      <c r="I39" s="657"/>
      <c r="J39" s="659"/>
      <c r="K39" s="924"/>
    </row>
    <row r="40" spans="1:11" s="84" customFormat="1" ht="15">
      <c r="A40" s="584"/>
      <c r="B40" s="585"/>
      <c r="C40" s="881" t="s">
        <v>1482</v>
      </c>
      <c r="D40" s="881"/>
      <c r="E40" s="881"/>
      <c r="F40" s="881"/>
      <c r="G40" s="881"/>
      <c r="H40" s="41" t="s">
        <v>702</v>
      </c>
      <c r="I40" s="650"/>
      <c r="J40" s="652"/>
      <c r="K40" s="923" t="str">
        <f>IF(OR(DHCDHome="Yes",Debt_financing="Yes",DND="Yes"),"Required exhibit.",IF(OR(DHCD="Yes",official_action="Yes",mortagage_funding="Yes",permanent_rental="Yes",tax_credit="Yes"),"Exhibit not required.",""))</f>
        <v/>
      </c>
    </row>
    <row r="41" spans="1:11" s="85" customFormat="1" ht="12">
      <c r="A41" s="656"/>
      <c r="B41" s="657"/>
      <c r="C41" s="657"/>
      <c r="D41" s="657"/>
      <c r="E41" s="657"/>
      <c r="F41" s="657"/>
      <c r="H41" s="658"/>
      <c r="I41" s="657"/>
      <c r="J41" s="659"/>
      <c r="K41" s="924"/>
    </row>
    <row r="42" spans="1:11" s="84" customFormat="1" ht="15">
      <c r="A42" s="584"/>
      <c r="B42" s="585"/>
      <c r="C42" s="881" t="s">
        <v>1483</v>
      </c>
      <c r="D42" s="881"/>
      <c r="E42" s="881"/>
      <c r="F42" s="881"/>
      <c r="G42" s="881"/>
      <c r="H42" s="41" t="s">
        <v>702</v>
      </c>
      <c r="I42" s="650"/>
      <c r="J42" s="652"/>
      <c r="K42" s="923" t="str">
        <f>IF(OR(DHCD="Yes",DHCDHome="Yes",Debt_financing="Yes",permanent_rental="Yes",DND="Yes",mortagage_funding="Yes"),"Required exhibit.",IF(tax_credit="Yes","Not required now, will be required later.",IF(official_action="Yes","Exhibit not required.","")))</f>
        <v/>
      </c>
    </row>
    <row r="43" spans="1:11" s="85" customFormat="1" ht="12">
      <c r="A43" s="656"/>
      <c r="B43" s="657"/>
      <c r="C43" s="657"/>
      <c r="D43" s="657"/>
      <c r="E43" s="657"/>
      <c r="F43" s="657"/>
      <c r="H43" s="658"/>
      <c r="I43" s="657"/>
      <c r="J43" s="659"/>
      <c r="K43" s="924"/>
    </row>
    <row r="44" spans="1:11" s="84" customFormat="1" ht="15">
      <c r="A44" s="584"/>
      <c r="B44" s="585"/>
      <c r="C44" s="881" t="s">
        <v>1484</v>
      </c>
      <c r="D44" s="881"/>
      <c r="E44" s="881"/>
      <c r="F44" s="881"/>
      <c r="G44" s="881"/>
      <c r="H44" s="41" t="s">
        <v>702</v>
      </c>
      <c r="I44" s="650"/>
      <c r="J44" s="652"/>
      <c r="K44" s="923" t="str">
        <f>IF(OR(DHCD="Yes",DHCDHome="Yes",mortagage_funding="Yes"),"Required exhibit.",IF(DND="Yes","Not required now. Will be required later.",IF(OR(official_action="Yes",permanent_rental="Yes",Debt_financing="Yes",tax_credit="Yes"),"Exhibit not required.","")))</f>
        <v/>
      </c>
    </row>
    <row r="45" spans="1:11" s="85" customFormat="1" ht="12">
      <c r="A45" s="656"/>
      <c r="B45" s="657"/>
      <c r="C45" s="657"/>
      <c r="D45" s="657"/>
      <c r="E45" s="657"/>
      <c r="F45" s="657"/>
      <c r="H45" s="658"/>
      <c r="I45" s="657"/>
      <c r="J45" s="659"/>
      <c r="K45" s="924"/>
    </row>
    <row r="46" spans="1:11" s="84" customFormat="1" ht="15">
      <c r="A46" s="584"/>
      <c r="B46" s="585"/>
      <c r="C46" s="881" t="s">
        <v>1485</v>
      </c>
      <c r="D46" s="881"/>
      <c r="E46" s="881"/>
      <c r="F46" s="881"/>
      <c r="G46" s="881"/>
      <c r="H46" s="41" t="s">
        <v>702</v>
      </c>
      <c r="I46" s="650"/>
      <c r="J46" s="652"/>
      <c r="K46" s="923" t="str">
        <f>IF(OR(DHCD="Yes",DHCDHome="Yes",mortagage_funding="Yes"),"Required exhibit.",IF(OR(permanent_rental="Yes",Debt_financing="Yes",tax_credit="Yes",DND="Yes"),"Not required now, will be required later.",IF(official_action="Yes","Exhibit not required.","")))</f>
        <v/>
      </c>
    </row>
    <row r="47" spans="1:11" s="85" customFormat="1" ht="12">
      <c r="A47" s="656"/>
      <c r="B47" s="657"/>
      <c r="C47" s="657"/>
      <c r="D47" s="657"/>
      <c r="E47" s="657"/>
      <c r="F47" s="657"/>
      <c r="H47" s="658"/>
      <c r="I47" s="657"/>
      <c r="J47" s="659"/>
      <c r="K47" s="924"/>
    </row>
    <row r="48" spans="1:11" s="84" customFormat="1" ht="15">
      <c r="A48" s="584"/>
      <c r="B48" s="585"/>
      <c r="C48" s="881" t="s">
        <v>1486</v>
      </c>
      <c r="D48" s="881"/>
      <c r="E48" s="881"/>
      <c r="F48" s="881"/>
      <c r="G48" s="881"/>
      <c r="H48" s="41" t="s">
        <v>702</v>
      </c>
      <c r="I48" s="650"/>
      <c r="J48" s="652"/>
      <c r="K48" s="923" t="str">
        <f>IF(OR(DHCD="Yes",DHCDHome="Yes",mortagage_funding="Yes",permanent_rental="Yes"),"Required exhibit.",IF(OR(Debt_financing="Yes",tax_credit="Yes",DND="Yes"),"Not required now, will be required later.",IF(official_action="Yes","Exhibit not required.","")))</f>
        <v/>
      </c>
    </row>
    <row r="49" spans="1:11" s="85" customFormat="1" ht="12">
      <c r="A49" s="656"/>
      <c r="B49" s="657"/>
      <c r="C49" s="657"/>
      <c r="D49" s="657"/>
      <c r="E49" s="657"/>
      <c r="F49" s="657"/>
      <c r="H49" s="658"/>
      <c r="I49" s="657"/>
      <c r="J49" s="659"/>
      <c r="K49" s="924"/>
    </row>
    <row r="50" spans="1:11" s="84" customFormat="1" ht="15">
      <c r="A50" s="584"/>
      <c r="B50" s="585"/>
      <c r="C50" s="881" t="s">
        <v>1487</v>
      </c>
      <c r="D50" s="881"/>
      <c r="E50" s="881"/>
      <c r="F50" s="881"/>
      <c r="G50" s="881"/>
      <c r="H50" s="41" t="s">
        <v>702</v>
      </c>
      <c r="I50" s="650"/>
      <c r="J50" s="652"/>
      <c r="K50" s="923" t="str">
        <f>IF(OR(DHCD="Yes",mortagage_funding="Yes"),"Required exhibit.",IF(DND="Yes","Not required now. Will be required later.",IF(OR(DHCDHome="Yes",official_action="Yes",permanent_rental="Yes",Debt_financing="Yes",tax_credit="Yes"),"Exhibit not required.","")))</f>
        <v/>
      </c>
    </row>
    <row r="51" spans="1:11" s="85" customFormat="1" ht="12">
      <c r="A51" s="656"/>
      <c r="B51" s="657"/>
      <c r="C51" s="657"/>
      <c r="D51" s="657"/>
      <c r="E51" s="657"/>
      <c r="F51" s="657"/>
      <c r="H51" s="658"/>
      <c r="I51" s="657"/>
      <c r="J51" s="659"/>
      <c r="K51" s="924"/>
    </row>
    <row r="52" spans="1:11" s="84" customFormat="1" ht="15">
      <c r="A52" s="584"/>
      <c r="B52" s="585"/>
      <c r="C52" s="881" t="s">
        <v>1488</v>
      </c>
      <c r="D52" s="881"/>
      <c r="E52" s="881"/>
      <c r="F52" s="881"/>
      <c r="G52" s="881"/>
      <c r="H52" s="41" t="s">
        <v>755</v>
      </c>
      <c r="I52" s="650"/>
      <c r="J52" s="652"/>
      <c r="K52" s="923" t="str">
        <f>IF(OR(DHCD="Yes",DHCDHome="Yes",official_action="Yes",mortagage_funding="Yes",permanent_rental="Yes",Debt_financing="Yes",tax_credit="Yes"),"Required exhibit.",IF(DND="Yes","Not required now, will be required later.",""))</f>
        <v/>
      </c>
    </row>
    <row r="53" spans="1:11" s="85" customFormat="1" ht="12">
      <c r="A53" s="656"/>
      <c r="B53" s="657"/>
      <c r="C53" s="657"/>
      <c r="D53" s="657"/>
      <c r="E53" s="657"/>
      <c r="F53" s="657"/>
      <c r="H53" s="658"/>
      <c r="I53" s="657"/>
      <c r="J53" s="659"/>
      <c r="K53" s="924"/>
    </row>
    <row r="54" spans="1:11" s="84" customFormat="1" ht="15">
      <c r="A54" s="584"/>
      <c r="B54" s="585"/>
      <c r="C54" s="881" t="s">
        <v>1489</v>
      </c>
      <c r="D54" s="881"/>
      <c r="E54" s="881"/>
      <c r="F54" s="881"/>
      <c r="G54" s="881"/>
      <c r="H54" s="41" t="s">
        <v>754</v>
      </c>
      <c r="I54" s="650"/>
      <c r="J54" s="652"/>
      <c r="K54" s="923" t="str">
        <f>IF(OR(DHCD="Yes",DHCDHome="Yes",mortagage_funding="Yes",Debt_financing="Yes",tax_credit="Yes",permanent_rental="Yes",DND="Yes"),"Required exhibit.",IF(official_action="Yes","Exhibit not required.",""))</f>
        <v/>
      </c>
    </row>
    <row r="55" spans="1:11" s="85" customFormat="1" ht="12">
      <c r="A55" s="656"/>
      <c r="B55" s="657"/>
      <c r="C55" s="657"/>
      <c r="D55" s="657"/>
      <c r="E55" s="657"/>
      <c r="F55" s="657"/>
      <c r="H55" s="658"/>
      <c r="I55" s="657"/>
      <c r="J55" s="659"/>
      <c r="K55" s="924"/>
    </row>
    <row r="56" spans="1:11" s="84" customFormat="1" ht="15">
      <c r="A56" s="584"/>
      <c r="B56" s="585"/>
      <c r="C56" s="881" t="s">
        <v>1490</v>
      </c>
      <c r="D56" s="881"/>
      <c r="E56" s="881"/>
      <c r="F56" s="881"/>
      <c r="G56" s="881"/>
      <c r="H56" s="41" t="s">
        <v>702</v>
      </c>
      <c r="I56" s="650"/>
      <c r="J56" s="652"/>
      <c r="K56" s="923" t="str">
        <f>IF(mortagage_funding="Yes","Required exhibit.",IF(OR(DHCD="Yes",DHCDHome="Yes",permanent_rental="Yes",Debt_financing="Yes",tax_credit="Yes",DND="Yes"),"Not required now, will be required later.",IF(official_action="Yes","Exhibit not required.","")))</f>
        <v/>
      </c>
    </row>
    <row r="57" spans="1:11" s="85" customFormat="1" ht="12">
      <c r="A57" s="656"/>
      <c r="B57" s="657"/>
      <c r="C57" s="657"/>
      <c r="D57" s="657"/>
      <c r="E57" s="657"/>
      <c r="F57" s="657"/>
      <c r="H57" s="658"/>
      <c r="I57" s="657"/>
      <c r="J57" s="659"/>
      <c r="K57" s="924"/>
    </row>
    <row r="58" spans="1:11" s="84" customFormat="1" ht="15">
      <c r="A58" s="584"/>
      <c r="B58" s="585"/>
      <c r="C58" s="881" t="s">
        <v>1492</v>
      </c>
      <c r="D58" s="881"/>
      <c r="E58" s="881"/>
      <c r="F58" s="881"/>
      <c r="G58" s="881"/>
      <c r="H58" s="41" t="s">
        <v>702</v>
      </c>
      <c r="I58" s="650"/>
      <c r="J58" s="652"/>
      <c r="K58" s="923" t="str">
        <f>IF(OR(mortagage_funding="Yes",official_action="Yes"),"Required exhibit.",IF(OR(DHCD="Yes",DHCDHome="Yes",permanent_rental="Yes",Debt_financing="Yes",tax_credit="Yes",DND="Yes"),"Not required now, will be required later.",""))</f>
        <v/>
      </c>
    </row>
    <row r="59" spans="1:11" s="85" customFormat="1" ht="12">
      <c r="A59" s="656"/>
      <c r="B59" s="657"/>
      <c r="C59" s="657"/>
      <c r="D59" s="657"/>
      <c r="E59" s="657"/>
      <c r="F59" s="657"/>
      <c r="H59" s="658"/>
      <c r="I59" s="657"/>
      <c r="J59" s="659"/>
      <c r="K59" s="924"/>
    </row>
    <row r="60" spans="1:11" ht="15.75">
      <c r="A60" s="584"/>
      <c r="B60" s="585"/>
      <c r="C60" s="594"/>
      <c r="D60" s="241"/>
      <c r="E60" s="241"/>
      <c r="F60" s="241"/>
      <c r="H60" s="660"/>
      <c r="I60" s="577"/>
      <c r="J60" s="579"/>
    </row>
    <row r="61" spans="1:11" s="85" customFormat="1" thickBot="1">
      <c r="A61" s="661"/>
      <c r="B61" s="662"/>
      <c r="C61" s="662"/>
      <c r="D61" s="662"/>
      <c r="E61" s="662"/>
      <c r="F61" s="662"/>
      <c r="G61" s="662"/>
      <c r="H61" s="663"/>
      <c r="I61" s="662"/>
      <c r="J61" s="664"/>
      <c r="K61" s="924"/>
    </row>
    <row r="62" spans="1:11" s="667" customFormat="1" ht="12">
      <c r="A62" s="552"/>
      <c r="B62" s="552">
        <f>PROJNAME</f>
        <v>0</v>
      </c>
      <c r="C62" s="552"/>
      <c r="D62" s="552"/>
      <c r="E62" s="552"/>
      <c r="F62" s="665"/>
      <c r="G62" s="554" t="e">
        <f>'1. Description'!$G$59</f>
        <v>#VALUE!</v>
      </c>
      <c r="H62" s="666" t="e">
        <f>'1. Description'!$H$59:$J$59</f>
        <v>#VALUE!</v>
      </c>
      <c r="I62" s="552"/>
      <c r="J62" s="552"/>
      <c r="K62" s="925"/>
    </row>
    <row r="63" spans="1:11" ht="16.5" thickBot="1">
      <c r="A63" s="555" t="s">
        <v>339</v>
      </c>
      <c r="B63" s="668"/>
      <c r="C63" s="601"/>
      <c r="D63" s="556"/>
      <c r="E63" s="556"/>
      <c r="F63" s="556"/>
      <c r="G63" s="662"/>
      <c r="H63" s="669"/>
      <c r="I63" s="601" t="s">
        <v>340</v>
      </c>
      <c r="J63" s="567"/>
    </row>
    <row r="64" spans="1:11" s="85" customFormat="1" ht="12">
      <c r="A64" s="646"/>
      <c r="B64" s="647"/>
      <c r="C64" s="647"/>
      <c r="D64" s="647"/>
      <c r="E64" s="647"/>
      <c r="F64" s="647"/>
      <c r="H64" s="648"/>
      <c r="I64" s="647"/>
      <c r="J64" s="649"/>
      <c r="K64" s="924"/>
    </row>
    <row r="65" spans="1:11" s="101" customFormat="1">
      <c r="A65" s="584"/>
      <c r="B65" s="670" t="s">
        <v>1377</v>
      </c>
      <c r="C65" s="585"/>
      <c r="D65" s="585"/>
      <c r="E65" s="585"/>
      <c r="F65" s="585"/>
      <c r="H65" s="658"/>
      <c r="I65" s="585"/>
      <c r="J65" s="587"/>
      <c r="K65" s="924"/>
    </row>
    <row r="66" spans="1:11" s="85" customFormat="1" ht="12" customHeight="1">
      <c r="A66" s="656"/>
      <c r="B66" s="657"/>
      <c r="C66" s="657"/>
      <c r="D66" s="657"/>
      <c r="E66" s="657"/>
      <c r="F66" s="657"/>
      <c r="H66" s="658"/>
      <c r="I66" s="657"/>
      <c r="J66" s="659"/>
      <c r="K66" s="924"/>
    </row>
    <row r="67" spans="1:11" ht="15">
      <c r="A67" s="584"/>
      <c r="B67" s="585"/>
      <c r="C67" s="881" t="s">
        <v>1493</v>
      </c>
      <c r="D67" s="881"/>
      <c r="E67" s="881"/>
      <c r="F67" s="881"/>
      <c r="G67" s="881"/>
      <c r="H67" s="41" t="s">
        <v>702</v>
      </c>
      <c r="I67" s="577"/>
      <c r="J67" s="579"/>
      <c r="K67" s="923" t="str">
        <f>IF(mortagage_funding="Yes","Required exhibit.",IF(OR(DHCD="Yes",DHCDHome="Yes",permanent_rental="Yes",Debt_financing="Yes",tax_credit="Yes",DND="Yes"),"Not required now, will be required later.",IF(OR(DHCDHome="Yes",official_action="Yes"),"Exhibit not required.","")))</f>
        <v/>
      </c>
    </row>
    <row r="68" spans="1:11" s="85" customFormat="1" ht="12">
      <c r="A68" s="656"/>
      <c r="B68" s="657"/>
      <c r="C68" s="657"/>
      <c r="D68" s="657"/>
      <c r="E68" s="657"/>
      <c r="F68" s="657"/>
      <c r="H68" s="658"/>
      <c r="I68" s="657"/>
      <c r="J68" s="659"/>
      <c r="K68" s="924"/>
    </row>
    <row r="69" spans="1:11" ht="15">
      <c r="A69" s="584"/>
      <c r="B69" s="585"/>
      <c r="C69" s="881" t="s">
        <v>1494</v>
      </c>
      <c r="D69" s="881"/>
      <c r="E69" s="881"/>
      <c r="F69" s="881"/>
      <c r="G69" s="881"/>
      <c r="H69" s="41" t="s">
        <v>702</v>
      </c>
      <c r="I69" s="577"/>
      <c r="J69" s="579"/>
      <c r="K69" s="923" t="str">
        <f>IF(OR(DHCD="Yes",DHCDHome="Yes",mortagage_funding="Yes",permanent_rental="Yes"),"Required exhibit.",IF(OR(tax_credit="Yes",DND="Yes"),"Not required now, will be required later.",IF(OR(official_action="Yes",Debt_financing="Yes"),"Exhibit not required.","")))</f>
        <v/>
      </c>
    </row>
    <row r="70" spans="1:11" s="85" customFormat="1" ht="12">
      <c r="A70" s="656"/>
      <c r="B70" s="657"/>
      <c r="C70" s="657"/>
      <c r="D70" s="657"/>
      <c r="E70" s="657"/>
      <c r="F70" s="657"/>
      <c r="H70" s="658"/>
      <c r="I70" s="657"/>
      <c r="J70" s="659"/>
      <c r="K70" s="924"/>
    </row>
    <row r="71" spans="1:11" ht="15">
      <c r="A71" s="584"/>
      <c r="B71" s="585"/>
      <c r="C71" s="881" t="s">
        <v>1495</v>
      </c>
      <c r="D71" s="881"/>
      <c r="E71" s="881"/>
      <c r="F71" s="881"/>
      <c r="G71" s="881"/>
      <c r="H71" s="41" t="s">
        <v>702</v>
      </c>
      <c r="I71" s="577"/>
      <c r="J71" s="579"/>
      <c r="K71" s="923" t="str">
        <f>IF(OR(DHCD="Yes",DHCDHome="Yes",mortagage_funding="Yes",permanent_rental="Yes",Debt_financing="Yes"),"Required exhibit.",IF(OR(tax_credit="Yes",DND="Yes"),"Not required now, will be required later.",IF(official_action="Yes","Exhibit not required.","")))</f>
        <v/>
      </c>
    </row>
    <row r="72" spans="1:11" s="85" customFormat="1" ht="12">
      <c r="A72" s="656"/>
      <c r="B72" s="657"/>
      <c r="C72" s="657"/>
      <c r="D72" s="657"/>
      <c r="E72" s="657"/>
      <c r="F72" s="657"/>
      <c r="H72" s="658"/>
      <c r="I72" s="657"/>
      <c r="J72" s="659"/>
      <c r="K72" s="924"/>
    </row>
    <row r="73" spans="1:11" ht="15">
      <c r="A73" s="584"/>
      <c r="B73" s="585"/>
      <c r="C73" s="881" t="s">
        <v>1497</v>
      </c>
      <c r="D73" s="881"/>
      <c r="E73" s="881"/>
      <c r="F73" s="881"/>
      <c r="G73" s="881"/>
      <c r="H73" s="41" t="s">
        <v>702</v>
      </c>
      <c r="I73" s="577"/>
      <c r="J73" s="579"/>
      <c r="K73" s="923" t="str">
        <f>IF(OR(DHCD="Yes",DHCDHome="Yes",mortagage_funding="Yes",permanent_rental="Yes",Debt_financing="Yes"),"Required exhibit.",IF(DND="Yes","Not required now, will be required later.",IF(OR(tax_credit="Yes",official_action="Yes"),"Exhibit not required.","")))</f>
        <v/>
      </c>
    </row>
    <row r="74" spans="1:11" s="85" customFormat="1" ht="12">
      <c r="A74" s="656"/>
      <c r="B74" s="657"/>
      <c r="C74" s="657"/>
      <c r="D74" s="657"/>
      <c r="E74" s="657"/>
      <c r="F74" s="657"/>
      <c r="H74" s="658"/>
      <c r="I74" s="657"/>
      <c r="J74" s="659"/>
      <c r="K74" s="924"/>
    </row>
    <row r="75" spans="1:11" ht="15">
      <c r="A75" s="584"/>
      <c r="B75" s="585"/>
      <c r="C75" s="881" t="s">
        <v>0</v>
      </c>
      <c r="D75" s="881"/>
      <c r="E75" s="881"/>
      <c r="F75" s="881"/>
      <c r="G75" s="881"/>
      <c r="H75" s="41" t="s">
        <v>702</v>
      </c>
      <c r="I75" s="577"/>
      <c r="J75" s="579"/>
      <c r="K75" s="923" t="str">
        <f>IF(OR(DHCD="Yes",DHCDHome="Yes",mortagage_funding="Yes",permanent_rental="Yes",Debt_financing="Yes"),"Required exhibit.",IF(OR(tax_credit="Yes",DND="Yes"),"Not required now, will be required later.",IF(official_action="Yes","Exhibit not required.","")))</f>
        <v/>
      </c>
    </row>
    <row r="76" spans="1:11" s="85" customFormat="1" ht="12">
      <c r="A76" s="656"/>
      <c r="B76" s="657"/>
      <c r="C76" s="657"/>
      <c r="D76" s="657"/>
      <c r="E76" s="657"/>
      <c r="F76" s="657"/>
      <c r="H76" s="658"/>
      <c r="I76" s="657"/>
      <c r="J76" s="659"/>
      <c r="K76" s="924"/>
    </row>
    <row r="77" spans="1:11" ht="15">
      <c r="A77" s="584"/>
      <c r="B77" s="585"/>
      <c r="C77" s="881" t="s">
        <v>1</v>
      </c>
      <c r="D77" s="881"/>
      <c r="E77" s="881"/>
      <c r="F77" s="881"/>
      <c r="G77" s="881"/>
      <c r="H77" s="41" t="s">
        <v>702</v>
      </c>
      <c r="I77" s="577"/>
      <c r="J77" s="579"/>
      <c r="K77" s="923" t="str">
        <f>IF(OR(DHCD="Yes",DHCDHome="Yes",mortagage_funding="Yes",permanent_rental="Yes"),"Required exhibit.",IF(OR(Debt_financing="Yes",tax_credit="Yes",DND="Yes"),"Not required now, will be required later.",IF(official_action="Yes","Exhibit not required.","")))</f>
        <v/>
      </c>
    </row>
    <row r="78" spans="1:11" s="85" customFormat="1" ht="12">
      <c r="A78" s="656"/>
      <c r="B78" s="657"/>
      <c r="C78" s="657"/>
      <c r="D78" s="657"/>
      <c r="E78" s="657"/>
      <c r="F78" s="657"/>
      <c r="H78" s="658"/>
      <c r="I78" s="657"/>
      <c r="J78" s="659"/>
      <c r="K78" s="924"/>
    </row>
    <row r="79" spans="1:11" ht="15">
      <c r="A79" s="584"/>
      <c r="B79" s="585"/>
      <c r="C79" s="881" t="s">
        <v>2</v>
      </c>
      <c r="D79" s="881"/>
      <c r="E79" s="881"/>
      <c r="F79" s="881"/>
      <c r="G79" s="881"/>
      <c r="H79" s="41" t="s">
        <v>702</v>
      </c>
      <c r="I79" s="577"/>
      <c r="J79" s="579"/>
      <c r="K79" s="923" t="s">
        <v>629</v>
      </c>
    </row>
    <row r="80" spans="1:11" s="85" customFormat="1" ht="12">
      <c r="A80" s="656"/>
      <c r="B80" s="657"/>
      <c r="C80" s="657"/>
      <c r="D80" s="657"/>
      <c r="E80" s="657"/>
      <c r="F80" s="657"/>
      <c r="H80" s="658"/>
      <c r="I80" s="657"/>
      <c r="J80" s="659"/>
      <c r="K80" s="924"/>
    </row>
    <row r="81" spans="1:11" ht="15">
      <c r="A81" s="584"/>
      <c r="B81" s="585"/>
      <c r="C81" s="881" t="s">
        <v>3</v>
      </c>
      <c r="D81" s="881"/>
      <c r="E81" s="881"/>
      <c r="F81" s="881"/>
      <c r="G81" s="881"/>
      <c r="H81" s="41" t="s">
        <v>702</v>
      </c>
      <c r="I81" s="577"/>
      <c r="J81" s="579"/>
      <c r="K81" s="923" t="str">
        <f>IF(OR(DHCD="Yes",DHCDHome="Yes",official_action="Yes",mortagage_funding="Yes",permanent_rental="Yes",Debt_financing="Yes",DND="Yes"),"Required exhibit.",IF(tax_credit="Yes","Not required now, will be required later.",""))</f>
        <v/>
      </c>
    </row>
    <row r="82" spans="1:11" s="85" customFormat="1" ht="12">
      <c r="A82" s="656"/>
      <c r="B82" s="657"/>
      <c r="C82" s="657"/>
      <c r="D82" s="657"/>
      <c r="E82" s="657"/>
      <c r="F82" s="657"/>
      <c r="H82" s="658"/>
      <c r="I82" s="657"/>
      <c r="J82" s="659"/>
      <c r="K82" s="924"/>
    </row>
    <row r="83" spans="1:11" ht="15">
      <c r="A83" s="584"/>
      <c r="B83" s="585"/>
      <c r="C83" s="881" t="s">
        <v>4</v>
      </c>
      <c r="D83" s="881"/>
      <c r="E83" s="881"/>
      <c r="F83" s="881"/>
      <c r="G83" s="881"/>
      <c r="H83" s="41" t="s">
        <v>702</v>
      </c>
      <c r="I83" s="577"/>
      <c r="J83" s="579"/>
      <c r="K83" s="923" t="str">
        <f>IF(OR(DHCD="Yes",DHCDHome="Yes",mortagage_funding="Yes",permanent_rental="Yes",Debt_financing="Yes",DND="Yes"),"Required exhibit.",IF(tax_credit="Yes","Not required now, will be required later.",IF(official_action="Yes","Exhibit not required.","")))</f>
        <v/>
      </c>
    </row>
    <row r="84" spans="1:11" s="85" customFormat="1" ht="12">
      <c r="A84" s="656"/>
      <c r="B84" s="657"/>
      <c r="C84" s="657"/>
      <c r="D84" s="657"/>
      <c r="E84" s="657"/>
      <c r="F84" s="657"/>
      <c r="H84" s="658"/>
      <c r="I84" s="657"/>
      <c r="J84" s="659"/>
      <c r="K84" s="924"/>
    </row>
    <row r="85" spans="1:11" ht="15">
      <c r="A85" s="584"/>
      <c r="B85" s="585"/>
      <c r="C85" s="881" t="s">
        <v>5</v>
      </c>
      <c r="D85" s="881"/>
      <c r="E85" s="881"/>
      <c r="F85" s="881"/>
      <c r="G85" s="881"/>
      <c r="H85" s="41" t="s">
        <v>702</v>
      </c>
      <c r="I85" s="577"/>
      <c r="J85" s="579"/>
      <c r="K85" s="923" t="str">
        <f>IF(OR(DHCD="Yes",DHCDHome="Yes",mortagage_funding="Yes",Debt_financing="Yes",tax_credit="Yes",permanent_rental="Yes",DND="Yes"),"Required exhibit.",IF(official_action="Yes","Exhibit not required.",""))</f>
        <v/>
      </c>
    </row>
    <row r="86" spans="1:11" s="85" customFormat="1" ht="12">
      <c r="A86" s="656"/>
      <c r="B86" s="657"/>
      <c r="C86" s="657"/>
      <c r="D86" s="657"/>
      <c r="E86" s="657"/>
      <c r="F86" s="657"/>
      <c r="H86" s="658"/>
      <c r="I86" s="657"/>
      <c r="J86" s="659"/>
      <c r="K86" s="924"/>
    </row>
    <row r="87" spans="1:11" ht="15">
      <c r="A87" s="584"/>
      <c r="B87" s="585"/>
      <c r="C87" s="881" t="s">
        <v>6</v>
      </c>
      <c r="D87" s="881"/>
      <c r="E87" s="881"/>
      <c r="F87" s="881"/>
      <c r="G87" s="881"/>
      <c r="H87" s="41" t="s">
        <v>702</v>
      </c>
      <c r="I87" s="577"/>
      <c r="J87" s="579"/>
      <c r="K87" s="923" t="str">
        <f>IF(OR(DHCD="Yes",DHCDHome="Yes",mortagage_funding="Yes"),"Required exhibit.",IF(OR(permanent_rental="Yes",Debt_financing="Yes",tax_credit="Yes",DND="Yes"),"Not required now, will be required later.",IF(official_action="Yes","Exhibit not required.","")))</f>
        <v/>
      </c>
    </row>
    <row r="88" spans="1:11" s="85" customFormat="1" ht="12">
      <c r="A88" s="656"/>
      <c r="B88" s="657"/>
      <c r="C88" s="657"/>
      <c r="D88" s="657"/>
      <c r="E88" s="657"/>
      <c r="F88" s="657"/>
      <c r="H88" s="658"/>
      <c r="I88" s="657"/>
      <c r="J88" s="659"/>
      <c r="K88" s="924"/>
    </row>
    <row r="89" spans="1:11" ht="15.75">
      <c r="A89" s="584"/>
      <c r="B89" s="585"/>
      <c r="C89" s="241" t="s">
        <v>341</v>
      </c>
      <c r="D89" s="577"/>
      <c r="E89" s="577"/>
      <c r="F89" s="577"/>
      <c r="H89" s="660"/>
      <c r="I89" s="577"/>
      <c r="J89" s="579"/>
    </row>
    <row r="90" spans="1:11" ht="15">
      <c r="A90" s="584"/>
      <c r="B90" s="585"/>
      <c r="C90" s="881" t="s">
        <v>7</v>
      </c>
      <c r="D90" s="881"/>
      <c r="E90" s="881"/>
      <c r="F90" s="881"/>
      <c r="G90" s="881"/>
      <c r="H90" s="41" t="s">
        <v>702</v>
      </c>
      <c r="I90" s="577"/>
      <c r="J90" s="579"/>
      <c r="K90" s="923" t="str">
        <f>IF(OR(DHCD="Yes",DHCDHome="Yes",mortagage_funding="Yes",permanent_rental="Yes",Debt_financing="Yes",DND="Yes"),"Required exhibit.",IF(tax_credit="Yes","Not required now, will be required later.",IF(official_action="Yes","Exhibit not required.","")))</f>
        <v/>
      </c>
    </row>
    <row r="91" spans="1:11" s="85" customFormat="1" ht="12">
      <c r="A91" s="656"/>
      <c r="B91" s="657"/>
      <c r="C91" s="657"/>
      <c r="D91" s="657"/>
      <c r="E91" s="657"/>
      <c r="F91" s="657"/>
      <c r="H91" s="658"/>
      <c r="I91" s="657"/>
      <c r="J91" s="659"/>
      <c r="K91" s="924"/>
    </row>
    <row r="92" spans="1:11" ht="15">
      <c r="A92" s="584"/>
      <c r="B92" s="585"/>
      <c r="C92" s="881" t="s">
        <v>8</v>
      </c>
      <c r="D92" s="881"/>
      <c r="E92" s="881"/>
      <c r="F92" s="881"/>
      <c r="G92" s="881"/>
      <c r="H92" s="41" t="s">
        <v>702</v>
      </c>
      <c r="I92" s="577"/>
      <c r="J92" s="579"/>
      <c r="K92" s="923" t="str">
        <f>IF(OR(permanent_rental="Yes",Debt_financing="Yes",DND="yes"),"Required exhibit.",IF(tax_credit="Yes","Not required now, will be required later.",IF(OR(DHCD="Yes",DHCDHome="Yes",official_action="Yes",mortagage_funding="Yes"),"Exhibit not required.","")))</f>
        <v/>
      </c>
    </row>
    <row r="93" spans="1:11" s="85" customFormat="1" ht="12">
      <c r="A93" s="656"/>
      <c r="B93" s="657"/>
      <c r="C93" s="657"/>
      <c r="D93" s="657"/>
      <c r="E93" s="657"/>
      <c r="F93" s="657"/>
      <c r="H93" s="658"/>
      <c r="I93" s="657"/>
      <c r="J93" s="659"/>
      <c r="K93" s="924"/>
    </row>
    <row r="94" spans="1:11" ht="15">
      <c r="A94" s="584"/>
      <c r="B94" s="585"/>
      <c r="C94" s="881" t="s">
        <v>9</v>
      </c>
      <c r="D94" s="881"/>
      <c r="E94" s="881"/>
      <c r="F94" s="881"/>
      <c r="G94" s="881"/>
      <c r="H94" s="41" t="s">
        <v>702</v>
      </c>
      <c r="I94" s="577"/>
      <c r="J94" s="579"/>
      <c r="K94" s="923" t="str">
        <f>IF(mortagage_funding="Yes","Required exhibit.",IF(OR(official_action="Yes",DHCD="Yes",DHCDHome="Yes",permanent_rental="Yes",Debt_financing="Yes",tax_credit="Yes",DND="Yes"),"Exhibit not required.",""))</f>
        <v/>
      </c>
    </row>
    <row r="95" spans="1:11" s="85" customFormat="1" ht="12">
      <c r="A95" s="656"/>
      <c r="B95" s="657"/>
      <c r="C95" s="657"/>
      <c r="D95" s="657"/>
      <c r="E95" s="657"/>
      <c r="F95" s="657"/>
      <c r="H95" s="658"/>
      <c r="I95" s="657"/>
      <c r="J95" s="659"/>
      <c r="K95" s="924"/>
    </row>
    <row r="96" spans="1:11" ht="15">
      <c r="A96" s="584"/>
      <c r="B96" s="585"/>
      <c r="C96" s="881" t="s">
        <v>10</v>
      </c>
      <c r="D96" s="881"/>
      <c r="E96" s="881"/>
      <c r="F96" s="881"/>
      <c r="G96" s="881"/>
      <c r="H96" s="41" t="s">
        <v>702</v>
      </c>
      <c r="I96" s="577"/>
      <c r="J96" s="579"/>
      <c r="K96" s="923" t="str">
        <f>IF(OR(mortagage_funding="Yes",DND="yes"),"Required exhibit.",IF(OR(DHCD="Yes",DHCDHome="Yes",Debt_financing="Yes",tax_credit="Yes"),"Not required now, will be required later.",IF(OR(permanent_rental="Yes",official_action="Yes"),"Exhibit not required.","")))</f>
        <v/>
      </c>
    </row>
    <row r="97" spans="1:11" s="85" customFormat="1" ht="12">
      <c r="A97" s="656"/>
      <c r="B97" s="657"/>
      <c r="C97" s="657"/>
      <c r="D97" s="657"/>
      <c r="E97" s="657"/>
      <c r="F97" s="657"/>
      <c r="G97" s="657"/>
      <c r="H97" s="671"/>
      <c r="I97" s="657"/>
      <c r="J97" s="659"/>
      <c r="K97" s="924"/>
    </row>
    <row r="98" spans="1:11" ht="15.75">
      <c r="A98" s="584"/>
      <c r="B98" s="585"/>
      <c r="C98" s="591" t="s">
        <v>363</v>
      </c>
      <c r="D98" s="585"/>
      <c r="E98" s="585"/>
      <c r="F98" s="585"/>
      <c r="G98" s="577"/>
      <c r="H98" s="612"/>
      <c r="I98" s="577"/>
      <c r="J98" s="579"/>
    </row>
    <row r="99" spans="1:11" s="85" customFormat="1" ht="12">
      <c r="A99" s="656"/>
      <c r="B99" s="657"/>
      <c r="C99" s="657"/>
      <c r="D99" s="657"/>
      <c r="E99" s="657"/>
      <c r="F99" s="657"/>
      <c r="G99" s="657"/>
      <c r="H99" s="671"/>
      <c r="I99" s="657"/>
      <c r="J99" s="659"/>
      <c r="K99" s="924"/>
    </row>
    <row r="100" spans="1:11" ht="18.75">
      <c r="A100" s="584"/>
      <c r="B100" s="585"/>
      <c r="C100" s="672" t="s">
        <v>364</v>
      </c>
      <c r="D100" s="23"/>
      <c r="E100" s="672" t="s">
        <v>1370</v>
      </c>
      <c r="F100" s="10"/>
      <c r="G100" s="11"/>
      <c r="H100" s="42"/>
      <c r="I100" s="12"/>
      <c r="J100" s="579"/>
    </row>
    <row r="101" spans="1:11" s="85" customFormat="1" ht="12">
      <c r="A101" s="656"/>
      <c r="B101" s="657"/>
      <c r="C101" s="658"/>
      <c r="D101" s="673"/>
      <c r="E101" s="658"/>
      <c r="F101" s="657"/>
      <c r="G101" s="657"/>
      <c r="H101" s="671"/>
      <c r="I101" s="657"/>
      <c r="J101" s="659"/>
      <c r="K101" s="924"/>
    </row>
    <row r="102" spans="1:11" ht="18.75">
      <c r="A102" s="584"/>
      <c r="B102" s="585"/>
      <c r="C102" s="672" t="s">
        <v>364</v>
      </c>
      <c r="D102" s="23"/>
      <c r="E102" s="672" t="s">
        <v>365</v>
      </c>
      <c r="F102" s="10"/>
      <c r="G102" s="11"/>
      <c r="H102" s="42"/>
      <c r="I102" s="12"/>
      <c r="J102" s="579"/>
    </row>
    <row r="103" spans="1:11" s="85" customFormat="1" ht="12">
      <c r="A103" s="656"/>
      <c r="B103" s="657"/>
      <c r="C103" s="658"/>
      <c r="D103" s="673"/>
      <c r="E103" s="658"/>
      <c r="F103" s="657"/>
      <c r="G103" s="657"/>
      <c r="H103" s="671"/>
      <c r="I103" s="657"/>
      <c r="J103" s="659"/>
      <c r="K103" s="924"/>
    </row>
    <row r="104" spans="1:11" ht="18.75">
      <c r="A104" s="584"/>
      <c r="B104" s="585"/>
      <c r="C104" s="672" t="s">
        <v>364</v>
      </c>
      <c r="D104" s="23"/>
      <c r="E104" s="672" t="s">
        <v>365</v>
      </c>
      <c r="F104" s="10"/>
      <c r="G104" s="11"/>
      <c r="H104" s="42"/>
      <c r="I104" s="12"/>
      <c r="J104" s="579"/>
    </row>
    <row r="105" spans="1:11" s="85" customFormat="1" ht="12">
      <c r="A105" s="656"/>
      <c r="B105" s="657"/>
      <c r="C105" s="658"/>
      <c r="D105" s="673"/>
      <c r="E105" s="658"/>
      <c r="F105" s="657"/>
      <c r="G105" s="657"/>
      <c r="H105" s="671"/>
      <c r="I105" s="657"/>
      <c r="J105" s="659"/>
      <c r="K105" s="924"/>
    </row>
    <row r="106" spans="1:11" ht="18.75">
      <c r="A106" s="584"/>
      <c r="B106" s="585"/>
      <c r="C106" s="672" t="s">
        <v>364</v>
      </c>
      <c r="D106" s="23"/>
      <c r="E106" s="672" t="s">
        <v>365</v>
      </c>
      <c r="F106" s="10"/>
      <c r="G106" s="11"/>
      <c r="H106" s="42"/>
      <c r="I106" s="12"/>
      <c r="J106" s="579"/>
    </row>
    <row r="107" spans="1:11" s="85" customFormat="1" ht="12">
      <c r="A107" s="656"/>
      <c r="B107" s="657"/>
      <c r="C107" s="657"/>
      <c r="D107" s="657"/>
      <c r="E107" s="657"/>
      <c r="F107" s="657"/>
      <c r="G107" s="657"/>
      <c r="H107" s="671"/>
      <c r="I107" s="657"/>
      <c r="J107" s="659"/>
      <c r="K107" s="924"/>
    </row>
    <row r="108" spans="1:11" s="85" customFormat="1" ht="12">
      <c r="A108" s="656"/>
      <c r="B108" s="657"/>
      <c r="C108" s="657"/>
      <c r="D108" s="657"/>
      <c r="E108" s="657"/>
      <c r="F108" s="657"/>
      <c r="G108" s="657"/>
      <c r="H108" s="671"/>
      <c r="I108" s="657"/>
      <c r="J108" s="659"/>
      <c r="K108" s="924"/>
    </row>
    <row r="109" spans="1:11" s="85" customFormat="1" ht="12">
      <c r="A109" s="656"/>
      <c r="B109" s="657"/>
      <c r="C109" s="657"/>
      <c r="D109" s="657"/>
      <c r="E109" s="657"/>
      <c r="F109" s="657"/>
      <c r="G109" s="657"/>
      <c r="H109" s="671"/>
      <c r="I109" s="657"/>
      <c r="J109" s="659"/>
      <c r="K109" s="924"/>
    </row>
    <row r="110" spans="1:11" s="85" customFormat="1" ht="12">
      <c r="A110" s="656"/>
      <c r="B110" s="657"/>
      <c r="C110" s="657"/>
      <c r="D110" s="657"/>
      <c r="E110" s="657"/>
      <c r="F110" s="657"/>
      <c r="G110" s="657"/>
      <c r="H110" s="671"/>
      <c r="I110" s="657"/>
      <c r="J110" s="659"/>
      <c r="K110" s="924"/>
    </row>
    <row r="111" spans="1:11" s="85" customFormat="1" ht="12">
      <c r="A111" s="656"/>
      <c r="B111" s="657"/>
      <c r="C111" s="657"/>
      <c r="D111" s="657"/>
      <c r="E111" s="657"/>
      <c r="F111" s="657"/>
      <c r="G111" s="657"/>
      <c r="H111" s="671"/>
      <c r="I111" s="657"/>
      <c r="J111" s="659"/>
      <c r="K111" s="924"/>
    </row>
    <row r="112" spans="1:11" s="85" customFormat="1" ht="12">
      <c r="A112" s="656"/>
      <c r="B112" s="657"/>
      <c r="C112" s="657"/>
      <c r="D112" s="657"/>
      <c r="E112" s="657"/>
      <c r="F112" s="657"/>
      <c r="G112" s="657"/>
      <c r="H112" s="658"/>
      <c r="I112" s="657"/>
      <c r="J112" s="659"/>
      <c r="K112" s="924"/>
    </row>
    <row r="113" spans="1:11" s="85" customFormat="1" ht="12">
      <c r="A113" s="656"/>
      <c r="B113" s="657"/>
      <c r="C113" s="657"/>
      <c r="D113" s="657"/>
      <c r="E113" s="657"/>
      <c r="F113" s="657"/>
      <c r="G113" s="657"/>
      <c r="H113" s="658"/>
      <c r="I113" s="657"/>
      <c r="J113" s="659"/>
      <c r="K113" s="924"/>
    </row>
    <row r="114" spans="1:11" s="85" customFormat="1" ht="12">
      <c r="A114" s="656"/>
      <c r="B114" s="657"/>
      <c r="C114" s="657"/>
      <c r="D114" s="657"/>
      <c r="E114" s="657"/>
      <c r="F114" s="657"/>
      <c r="G114" s="657"/>
      <c r="H114" s="658"/>
      <c r="I114" s="657"/>
      <c r="J114" s="659"/>
      <c r="K114" s="924"/>
    </row>
    <row r="115" spans="1:11" s="85" customFormat="1" ht="12">
      <c r="A115" s="656"/>
      <c r="B115" s="657"/>
      <c r="C115" s="657"/>
      <c r="D115" s="657"/>
      <c r="E115" s="657"/>
      <c r="F115" s="657"/>
      <c r="G115" s="657"/>
      <c r="H115" s="658"/>
      <c r="I115" s="657"/>
      <c r="J115" s="659"/>
      <c r="K115" s="924"/>
    </row>
    <row r="116" spans="1:11" s="85" customFormat="1" ht="12">
      <c r="A116" s="656"/>
      <c r="B116" s="657"/>
      <c r="C116" s="657"/>
      <c r="D116" s="657"/>
      <c r="E116" s="657"/>
      <c r="F116" s="657"/>
      <c r="G116" s="657"/>
      <c r="H116" s="658"/>
      <c r="I116" s="657"/>
      <c r="J116" s="659"/>
      <c r="K116" s="924"/>
    </row>
    <row r="117" spans="1:11" s="85" customFormat="1" ht="12">
      <c r="A117" s="656"/>
      <c r="B117" s="657"/>
      <c r="C117" s="657"/>
      <c r="D117" s="657"/>
      <c r="E117" s="657"/>
      <c r="F117" s="657"/>
      <c r="G117" s="657"/>
      <c r="H117" s="658"/>
      <c r="I117" s="657"/>
      <c r="J117" s="659"/>
      <c r="K117" s="924"/>
    </row>
    <row r="118" spans="1:11" s="85" customFormat="1" ht="12">
      <c r="A118" s="656"/>
      <c r="B118" s="657"/>
      <c r="C118" s="657"/>
      <c r="D118" s="657"/>
      <c r="E118" s="657"/>
      <c r="F118" s="657"/>
      <c r="G118" s="657"/>
      <c r="H118" s="658"/>
      <c r="I118" s="657"/>
      <c r="J118" s="659"/>
      <c r="K118" s="924"/>
    </row>
    <row r="119" spans="1:11" s="85" customFormat="1" ht="12">
      <c r="A119" s="656"/>
      <c r="B119" s="657"/>
      <c r="C119" s="657"/>
      <c r="D119" s="657"/>
      <c r="E119" s="657"/>
      <c r="F119" s="657"/>
      <c r="G119" s="657"/>
      <c r="H119" s="658"/>
      <c r="I119" s="657"/>
      <c r="J119" s="659"/>
      <c r="K119" s="924"/>
    </row>
    <row r="120" spans="1:11" s="85" customFormat="1" ht="12">
      <c r="A120" s="656"/>
      <c r="B120" s="657"/>
      <c r="C120" s="657"/>
      <c r="D120" s="657"/>
      <c r="E120" s="657"/>
      <c r="F120" s="657"/>
      <c r="G120" s="657"/>
      <c r="H120" s="658"/>
      <c r="I120" s="657"/>
      <c r="J120" s="659"/>
      <c r="K120" s="924"/>
    </row>
    <row r="121" spans="1:11" ht="15.75">
      <c r="A121" s="584"/>
      <c r="B121" s="585"/>
      <c r="C121" s="594"/>
      <c r="D121" s="577"/>
      <c r="E121" s="577"/>
      <c r="F121" s="577"/>
      <c r="G121" s="577"/>
      <c r="H121" s="660"/>
      <c r="I121" s="577"/>
      <c r="J121" s="579"/>
    </row>
    <row r="122" spans="1:11" s="85" customFormat="1" thickBot="1">
      <c r="A122" s="661"/>
      <c r="B122" s="662"/>
      <c r="C122" s="662"/>
      <c r="D122" s="662"/>
      <c r="E122" s="662"/>
      <c r="F122" s="662"/>
      <c r="G122" s="662"/>
      <c r="H122" s="663"/>
      <c r="I122" s="662"/>
      <c r="J122" s="664"/>
      <c r="K122" s="924"/>
    </row>
    <row r="123" spans="1:11" s="667" customFormat="1" ht="12">
      <c r="A123" s="552"/>
      <c r="B123" s="552">
        <f>PROJNAME</f>
        <v>0</v>
      </c>
      <c r="C123" s="552"/>
      <c r="D123" s="552"/>
      <c r="E123" s="552"/>
      <c r="F123" s="665"/>
      <c r="G123" s="554" t="e">
        <f>'1. Description'!$G$59</f>
        <v>#VALUE!</v>
      </c>
      <c r="H123" s="666" t="e">
        <f>'1. Description'!$H$59:$J$59</f>
        <v>#VALUE!</v>
      </c>
      <c r="I123" s="552"/>
      <c r="J123" s="552"/>
      <c r="K123" s="925"/>
    </row>
    <row r="124" spans="1:11">
      <c r="A124" s="668"/>
      <c r="B124" s="668"/>
      <c r="C124" s="567"/>
      <c r="D124" s="567"/>
      <c r="E124" s="567"/>
      <c r="F124" s="567"/>
      <c r="G124" s="567"/>
      <c r="H124" s="674"/>
      <c r="I124" s="567"/>
      <c r="J124" s="567"/>
    </row>
  </sheetData>
  <mergeCells count="1">
    <mergeCell ref="A3:J3"/>
  </mergeCells>
  <phoneticPr fontId="140" type="noConversion"/>
  <printOptions horizontalCentered="1" gridLinesSet="0"/>
  <pageMargins left="7.0000000000000007E-2" right="7.0000000000000007E-2" top="7.0000000000000007E-2" bottom="7.0000000000000007E-2" header="7.0000000000000007E-2" footer="7.0000000000000007E-2"/>
  <pageSetup scale="88" orientation="portrait" blackAndWhite="1" horizontalDpi="300" verticalDpi="300" r:id="rId1"/>
  <headerFooter alignWithMargins="0"/>
  <rowBreaks count="1" manualBreakCount="1">
    <brk id="6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codeName="Sheet8"/>
  <dimension ref="A1:J65"/>
  <sheetViews>
    <sheetView showGridLines="0" topLeftCell="A4" zoomScaleNormal="100" workbookViewId="0">
      <selection activeCell="P21" sqref="P21"/>
    </sheetView>
  </sheetViews>
  <sheetFormatPr defaultColWidth="9.6640625" defaultRowHeight="11.25"/>
  <cols>
    <col min="1" max="1" width="3.6640625" style="103" customWidth="1"/>
    <col min="2" max="2" width="1.6640625" style="103" customWidth="1"/>
    <col min="3" max="3" width="18.83203125" style="103" customWidth="1"/>
    <col min="4" max="4" width="17.1640625" style="103" customWidth="1"/>
    <col min="5" max="5" width="12.83203125" style="103" customWidth="1"/>
    <col min="6" max="6" width="13" style="103" customWidth="1"/>
    <col min="7" max="7" width="12.1640625" style="103" customWidth="1"/>
    <col min="8" max="8" width="14.83203125" style="103" customWidth="1"/>
    <col min="9" max="9" width="9.6640625" style="103" customWidth="1"/>
    <col min="10" max="10" width="2.6640625" style="103" customWidth="1"/>
    <col min="11" max="11" width="24.6640625" style="103" customWidth="1"/>
    <col min="12" max="16384" width="9.6640625" style="103"/>
  </cols>
  <sheetData>
    <row r="1" spans="1:10" ht="12.75">
      <c r="A1" s="63" t="str">
        <f>'2. Dev. Team'!A1</f>
        <v>One Stop2000 Affordable Housing Finance Application [Version 1.21] ©</v>
      </c>
      <c r="B1" s="80"/>
      <c r="C1" s="80"/>
      <c r="D1" s="80"/>
      <c r="E1" s="80"/>
      <c r="F1" s="80"/>
      <c r="G1" s="80"/>
      <c r="H1" s="80"/>
      <c r="I1" s="115" t="s">
        <v>366</v>
      </c>
      <c r="J1" s="80"/>
    </row>
    <row r="2" spans="1:10" ht="25.5">
      <c r="A2" s="68" t="s">
        <v>367</v>
      </c>
      <c r="B2" s="421"/>
      <c r="C2" s="68"/>
      <c r="D2" s="421"/>
      <c r="E2" s="421"/>
      <c r="F2" s="418"/>
      <c r="G2" s="418"/>
      <c r="H2" s="421"/>
      <c r="I2" s="421"/>
      <c r="J2" s="421"/>
    </row>
    <row r="3" spans="1:10" ht="27" thickBot="1">
      <c r="A3" s="69" t="s">
        <v>368</v>
      </c>
      <c r="B3" s="421"/>
      <c r="C3" s="69"/>
      <c r="D3" s="421"/>
      <c r="E3" s="421"/>
      <c r="F3" s="421"/>
      <c r="G3" s="244"/>
      <c r="H3" s="421"/>
      <c r="I3" s="421"/>
      <c r="J3" s="421"/>
    </row>
    <row r="4" spans="1:10">
      <c r="A4" s="198"/>
      <c r="B4" s="199"/>
      <c r="C4" s="199"/>
      <c r="D4" s="199"/>
      <c r="E4" s="199"/>
      <c r="F4" s="199"/>
      <c r="G4" s="199"/>
      <c r="H4" s="199"/>
      <c r="I4" s="199"/>
      <c r="J4" s="200"/>
    </row>
    <row r="5" spans="1:10" ht="15.75">
      <c r="A5" s="79"/>
      <c r="B5" s="80"/>
      <c r="C5" s="138" t="s">
        <v>369</v>
      </c>
      <c r="D5" s="1348" t="str">
        <f>IF('1. Description'!E7&lt;&gt;" ",'1. Description'!E7," ")</f>
        <v xml:space="preserve"> </v>
      </c>
      <c r="E5" s="1349"/>
      <c r="F5" s="1349"/>
      <c r="G5" s="1349"/>
      <c r="H5" s="1349"/>
      <c r="I5" s="1350"/>
      <c r="J5" s="83"/>
    </row>
    <row r="6" spans="1:10">
      <c r="A6" s="79"/>
      <c r="B6" s="80"/>
      <c r="C6" s="80"/>
      <c r="D6" s="80"/>
      <c r="E6" s="80"/>
      <c r="F6" s="80"/>
      <c r="G6" s="80"/>
      <c r="H6" s="80"/>
      <c r="I6" s="80"/>
      <c r="J6" s="83"/>
    </row>
    <row r="7" spans="1:10" ht="15.75">
      <c r="A7" s="79"/>
      <c r="B7" s="80"/>
      <c r="C7" s="138" t="s">
        <v>370</v>
      </c>
      <c r="D7" s="915"/>
      <c r="E7" s="915"/>
      <c r="F7" s="916" t="s">
        <v>646</v>
      </c>
      <c r="G7" s="138"/>
      <c r="H7" s="138"/>
      <c r="I7" s="138"/>
      <c r="J7" s="83"/>
    </row>
    <row r="8" spans="1:10" ht="12.75">
      <c r="A8" s="79"/>
      <c r="B8" s="80"/>
      <c r="C8" s="80"/>
      <c r="D8" s="471" t="s">
        <v>371</v>
      </c>
      <c r="E8" s="471" t="s">
        <v>372</v>
      </c>
      <c r="F8" s="471" t="s">
        <v>373</v>
      </c>
      <c r="G8" s="80"/>
      <c r="H8" s="80"/>
      <c r="I8" s="80"/>
      <c r="J8" s="83"/>
    </row>
    <row r="9" spans="1:10">
      <c r="A9" s="79"/>
      <c r="B9" s="80"/>
      <c r="C9" s="80"/>
      <c r="D9" s="80"/>
      <c r="E9" s="80"/>
      <c r="F9" s="80"/>
      <c r="G9" s="80"/>
      <c r="H9" s="80"/>
      <c r="I9" s="80"/>
      <c r="J9" s="83"/>
    </row>
    <row r="10" spans="1:10" ht="15.75">
      <c r="A10" s="79"/>
      <c r="B10" s="80"/>
      <c r="C10" s="498" t="s">
        <v>320</v>
      </c>
      <c r="D10" s="498"/>
      <c r="E10" s="498"/>
      <c r="F10" s="138"/>
      <c r="G10" s="138"/>
      <c r="H10" s="138"/>
      <c r="I10" s="138"/>
      <c r="J10" s="83"/>
    </row>
    <row r="11" spans="1:10" ht="15.75">
      <c r="A11" s="79"/>
      <c r="B11" s="80"/>
      <c r="C11" s="498" t="s">
        <v>321</v>
      </c>
      <c r="D11" s="498"/>
      <c r="E11" s="498"/>
      <c r="F11" s="138"/>
      <c r="G11" s="138"/>
      <c r="H11" s="138"/>
      <c r="I11" s="138"/>
      <c r="J11" s="83"/>
    </row>
    <row r="12" spans="1:10">
      <c r="A12" s="79"/>
      <c r="B12" s="80"/>
      <c r="C12" s="80"/>
      <c r="D12" s="80"/>
      <c r="E12" s="80"/>
      <c r="F12" s="80"/>
      <c r="G12" s="80"/>
      <c r="H12" s="80"/>
      <c r="I12" s="80"/>
      <c r="J12" s="83"/>
    </row>
    <row r="13" spans="1:10" ht="15.75">
      <c r="A13" s="79"/>
      <c r="B13" s="80"/>
      <c r="C13" s="138" t="s">
        <v>374</v>
      </c>
      <c r="D13" s="1351"/>
      <c r="E13" s="1352"/>
      <c r="F13" s="1352"/>
      <c r="G13" s="1352"/>
      <c r="H13" s="1353"/>
      <c r="I13" s="138"/>
      <c r="J13" s="83"/>
    </row>
    <row r="14" spans="1:10">
      <c r="A14" s="79"/>
      <c r="B14" s="80"/>
      <c r="C14" s="80"/>
      <c r="D14" s="1354"/>
      <c r="E14" s="1355"/>
      <c r="F14" s="1355"/>
      <c r="G14" s="1355"/>
      <c r="H14" s="1356"/>
      <c r="I14" s="80"/>
      <c r="J14" s="83"/>
    </row>
    <row r="15" spans="1:10" ht="15.75">
      <c r="A15" s="79"/>
      <c r="B15" s="80"/>
      <c r="C15" s="80"/>
      <c r="D15" s="1348" t="str">
        <f>IF('2. Dev. Team'!F27&lt;&gt;" ",'2. Dev. Team'!F27," ")</f>
        <v xml:space="preserve"> </v>
      </c>
      <c r="E15" s="1349"/>
      <c r="F15" s="1349"/>
      <c r="G15" s="1349"/>
      <c r="H15" s="1350"/>
      <c r="I15" s="80"/>
      <c r="J15" s="83"/>
    </row>
    <row r="16" spans="1:10" ht="15.75">
      <c r="A16" s="79"/>
      <c r="B16" s="80"/>
      <c r="C16" s="80"/>
      <c r="D16" s="1348" t="str">
        <f>IF('2. Dev. Team'!F23&lt;&gt;" ",'2. Dev. Team'!F23," ")</f>
        <v xml:space="preserve"> </v>
      </c>
      <c r="E16" s="1349"/>
      <c r="F16" s="1349"/>
      <c r="G16" s="1349"/>
      <c r="H16" s="1350"/>
      <c r="I16" s="80"/>
      <c r="J16" s="83"/>
    </row>
    <row r="17" spans="1:10">
      <c r="A17" s="79"/>
      <c r="B17" s="80"/>
      <c r="C17" s="80"/>
      <c r="D17" s="80"/>
      <c r="E17" s="80"/>
      <c r="F17" s="80"/>
      <c r="G17" s="80"/>
      <c r="H17" s="80"/>
      <c r="I17" s="80"/>
      <c r="J17" s="83"/>
    </row>
    <row r="18" spans="1:10">
      <c r="A18" s="79"/>
      <c r="B18" s="80"/>
      <c r="C18" s="80"/>
      <c r="D18" s="80"/>
      <c r="E18" s="80"/>
      <c r="F18" s="80"/>
      <c r="G18" s="80"/>
      <c r="H18" s="80"/>
      <c r="I18" s="80"/>
      <c r="J18" s="83"/>
    </row>
    <row r="19" spans="1:10" ht="15.75">
      <c r="A19" s="79"/>
      <c r="B19" s="80"/>
      <c r="C19" s="498"/>
      <c r="D19" s="498"/>
      <c r="E19" s="498"/>
      <c r="F19" s="498"/>
      <c r="G19" s="498"/>
      <c r="H19" s="498"/>
      <c r="I19" s="80"/>
      <c r="J19" s="83"/>
    </row>
    <row r="20" spans="1:10" ht="15.75">
      <c r="A20" s="79"/>
      <c r="B20" s="80"/>
      <c r="C20" s="498"/>
      <c r="D20" s="498"/>
      <c r="E20" s="498"/>
      <c r="F20" s="498"/>
      <c r="G20" s="498"/>
      <c r="H20" s="498"/>
      <c r="I20" s="80"/>
      <c r="J20" s="83"/>
    </row>
    <row r="21" spans="1:10" ht="15.75">
      <c r="A21" s="79"/>
      <c r="B21" s="80"/>
      <c r="C21" s="498"/>
      <c r="D21" s="498"/>
      <c r="E21" s="498"/>
      <c r="F21" s="498"/>
      <c r="G21" s="498"/>
      <c r="H21" s="498"/>
      <c r="I21" s="80"/>
      <c r="J21" s="83"/>
    </row>
    <row r="22" spans="1:10">
      <c r="A22" s="79"/>
      <c r="B22" s="80"/>
      <c r="C22" s="80"/>
      <c r="D22" s="80"/>
      <c r="E22" s="80"/>
      <c r="F22" s="80"/>
      <c r="G22" s="80"/>
      <c r="H22" s="80"/>
      <c r="I22" s="80"/>
      <c r="J22" s="83"/>
    </row>
    <row r="23" spans="1:10" ht="15.75">
      <c r="A23" s="79"/>
      <c r="B23" s="80"/>
      <c r="C23" s="138"/>
      <c r="D23" s="138"/>
      <c r="E23" s="138"/>
      <c r="F23" s="138"/>
      <c r="G23" s="138"/>
      <c r="H23" s="138"/>
      <c r="I23" s="80"/>
      <c r="J23" s="83"/>
    </row>
    <row r="24" spans="1:10">
      <c r="A24" s="79"/>
      <c r="B24" s="80"/>
      <c r="C24" s="80"/>
      <c r="D24" s="80"/>
      <c r="E24" s="80"/>
      <c r="F24" s="80"/>
      <c r="G24" s="80"/>
      <c r="H24" s="80"/>
      <c r="I24" s="80"/>
      <c r="J24" s="83"/>
    </row>
    <row r="25" spans="1:10">
      <c r="A25" s="79"/>
      <c r="B25" s="80"/>
      <c r="C25" s="80"/>
      <c r="D25" s="80"/>
      <c r="E25" s="80"/>
      <c r="F25" s="80"/>
      <c r="G25" s="80"/>
      <c r="H25" s="80"/>
      <c r="I25" s="80"/>
      <c r="J25" s="83"/>
    </row>
    <row r="26" spans="1:10">
      <c r="A26" s="79"/>
      <c r="B26" s="80"/>
      <c r="C26" s="80"/>
      <c r="D26" s="80"/>
      <c r="E26" s="80"/>
      <c r="F26" s="80"/>
      <c r="G26" s="80"/>
      <c r="H26" s="80"/>
      <c r="I26" s="80"/>
      <c r="J26" s="83"/>
    </row>
    <row r="27" spans="1:10">
      <c r="A27" s="79"/>
      <c r="B27" s="80"/>
      <c r="C27" s="80"/>
      <c r="D27" s="80"/>
      <c r="E27" s="80"/>
      <c r="F27" s="80"/>
      <c r="G27" s="80"/>
      <c r="H27" s="80"/>
      <c r="I27" s="80"/>
      <c r="J27" s="83"/>
    </row>
    <row r="28" spans="1:10">
      <c r="A28" s="79"/>
      <c r="B28" s="80"/>
      <c r="C28" s="80"/>
      <c r="D28" s="80"/>
      <c r="E28" s="80"/>
      <c r="F28" s="80"/>
      <c r="G28" s="80"/>
      <c r="H28" s="80"/>
      <c r="I28" s="80"/>
      <c r="J28" s="83"/>
    </row>
    <row r="29" spans="1:10">
      <c r="A29" s="79"/>
      <c r="B29" s="80"/>
      <c r="C29" s="80"/>
      <c r="D29" s="80"/>
      <c r="E29" s="80"/>
      <c r="F29" s="80"/>
      <c r="G29" s="80"/>
      <c r="H29" s="80"/>
      <c r="I29" s="80"/>
      <c r="J29" s="83"/>
    </row>
    <row r="30" spans="1:10">
      <c r="A30" s="79"/>
      <c r="B30" s="80"/>
      <c r="C30" s="80"/>
      <c r="D30" s="80"/>
      <c r="E30" s="80"/>
      <c r="F30" s="80"/>
      <c r="G30" s="80"/>
      <c r="H30" s="80"/>
      <c r="I30" s="80"/>
      <c r="J30" s="83"/>
    </row>
    <row r="31" spans="1:10">
      <c r="A31" s="79"/>
      <c r="B31" s="80"/>
      <c r="C31" s="80"/>
      <c r="D31" s="80"/>
      <c r="E31" s="80"/>
      <c r="F31" s="80"/>
      <c r="G31" s="80"/>
      <c r="H31" s="80"/>
      <c r="I31" s="80"/>
      <c r="J31" s="83"/>
    </row>
    <row r="32" spans="1:10">
      <c r="A32" s="79"/>
      <c r="B32" s="80"/>
      <c r="C32" s="80"/>
      <c r="D32" s="80"/>
      <c r="E32" s="80"/>
      <c r="F32" s="80"/>
      <c r="G32" s="80"/>
      <c r="H32" s="80"/>
      <c r="I32" s="80"/>
      <c r="J32" s="83"/>
    </row>
    <row r="33" spans="1:10">
      <c r="A33" s="79"/>
      <c r="B33" s="80"/>
      <c r="C33" s="80"/>
      <c r="D33" s="80"/>
      <c r="E33" s="80"/>
      <c r="F33" s="80"/>
      <c r="G33" s="80"/>
      <c r="H33" s="80"/>
      <c r="I33" s="80"/>
      <c r="J33" s="83"/>
    </row>
    <row r="34" spans="1:10">
      <c r="A34" s="79"/>
      <c r="B34" s="80"/>
      <c r="C34" s="80"/>
      <c r="D34" s="80"/>
      <c r="E34" s="80"/>
      <c r="F34" s="80"/>
      <c r="G34" s="80"/>
      <c r="H34" s="80"/>
      <c r="I34" s="80"/>
      <c r="J34" s="83"/>
    </row>
    <row r="35" spans="1:10">
      <c r="A35" s="79"/>
      <c r="B35" s="80"/>
      <c r="C35" s="80"/>
      <c r="D35" s="80"/>
      <c r="E35" s="80"/>
      <c r="F35" s="80"/>
      <c r="G35" s="80"/>
      <c r="H35" s="80"/>
      <c r="I35" s="80"/>
      <c r="J35" s="83"/>
    </row>
    <row r="36" spans="1:10">
      <c r="A36" s="79"/>
      <c r="B36" s="80"/>
      <c r="C36" s="80"/>
      <c r="D36" s="80"/>
      <c r="E36" s="80"/>
      <c r="F36" s="80"/>
      <c r="G36" s="80"/>
      <c r="H36" s="80"/>
      <c r="I36" s="80"/>
      <c r="J36" s="83"/>
    </row>
    <row r="37" spans="1:10">
      <c r="A37" s="79"/>
      <c r="B37" s="80"/>
      <c r="C37" s="80"/>
      <c r="D37" s="80"/>
      <c r="E37" s="80"/>
      <c r="F37" s="80"/>
      <c r="G37" s="80"/>
      <c r="H37" s="80"/>
      <c r="I37" s="80"/>
      <c r="J37" s="83"/>
    </row>
    <row r="38" spans="1:10">
      <c r="A38" s="79"/>
      <c r="B38" s="80"/>
      <c r="C38" s="80"/>
      <c r="D38" s="80"/>
      <c r="E38" s="80"/>
      <c r="F38" s="80"/>
      <c r="G38" s="80"/>
      <c r="H38" s="80"/>
      <c r="I38" s="80"/>
      <c r="J38" s="83"/>
    </row>
    <row r="39" spans="1:10">
      <c r="A39" s="79"/>
      <c r="B39" s="80"/>
      <c r="C39" s="80"/>
      <c r="D39" s="80"/>
      <c r="E39" s="80"/>
      <c r="F39" s="80"/>
      <c r="G39" s="80"/>
      <c r="H39" s="80"/>
      <c r="I39" s="80"/>
      <c r="J39" s="83"/>
    </row>
    <row r="40" spans="1:10">
      <c r="A40" s="79"/>
      <c r="B40" s="80"/>
      <c r="C40" s="80"/>
      <c r="D40" s="80"/>
      <c r="E40" s="80"/>
      <c r="F40" s="80"/>
      <c r="G40" s="80"/>
      <c r="H40" s="80"/>
      <c r="I40" s="80"/>
      <c r="J40" s="83"/>
    </row>
    <row r="41" spans="1:10">
      <c r="A41" s="79"/>
      <c r="B41" s="80"/>
      <c r="C41" s="80"/>
      <c r="D41" s="80"/>
      <c r="E41" s="80"/>
      <c r="F41" s="80"/>
      <c r="G41" s="80"/>
      <c r="H41" s="80"/>
      <c r="I41" s="80"/>
      <c r="J41" s="83"/>
    </row>
    <row r="42" spans="1:10">
      <c r="A42" s="79"/>
      <c r="B42" s="80"/>
      <c r="C42" s="80"/>
      <c r="D42" s="80"/>
      <c r="E42" s="80"/>
      <c r="F42" s="80"/>
      <c r="G42" s="80"/>
      <c r="H42" s="80"/>
      <c r="I42" s="80"/>
      <c r="J42" s="83"/>
    </row>
    <row r="43" spans="1:10">
      <c r="A43" s="79"/>
      <c r="B43" s="80"/>
      <c r="C43" s="80"/>
      <c r="D43" s="80"/>
      <c r="E43" s="80"/>
      <c r="F43" s="80"/>
      <c r="G43" s="80"/>
      <c r="H43" s="80"/>
      <c r="I43" s="80"/>
      <c r="J43" s="83"/>
    </row>
    <row r="44" spans="1:10">
      <c r="A44" s="79"/>
      <c r="B44" s="80"/>
      <c r="C44" s="80"/>
      <c r="D44" s="80"/>
      <c r="E44" s="80"/>
      <c r="F44" s="80"/>
      <c r="G44" s="80"/>
      <c r="H44" s="80"/>
      <c r="I44" s="80"/>
      <c r="J44" s="83"/>
    </row>
    <row r="45" spans="1:10">
      <c r="A45" s="79"/>
      <c r="B45" s="80"/>
      <c r="C45" s="80"/>
      <c r="D45" s="80"/>
      <c r="E45" s="80"/>
      <c r="F45" s="80"/>
      <c r="G45" s="80"/>
      <c r="H45" s="80"/>
      <c r="I45" s="80"/>
      <c r="J45" s="83"/>
    </row>
    <row r="46" spans="1:10">
      <c r="A46" s="79"/>
      <c r="B46" s="80"/>
      <c r="C46" s="80"/>
      <c r="D46" s="80"/>
      <c r="E46" s="80"/>
      <c r="F46" s="80"/>
      <c r="G46" s="80"/>
      <c r="H46" s="80"/>
      <c r="I46" s="80"/>
      <c r="J46" s="83"/>
    </row>
    <row r="47" spans="1:10">
      <c r="A47" s="79"/>
      <c r="B47" s="80"/>
      <c r="C47" s="80"/>
      <c r="D47" s="80"/>
      <c r="E47" s="80"/>
      <c r="F47" s="80"/>
      <c r="G47" s="80"/>
      <c r="H47" s="80"/>
      <c r="I47" s="80"/>
      <c r="J47" s="83"/>
    </row>
    <row r="48" spans="1:10">
      <c r="A48" s="79"/>
      <c r="B48" s="80"/>
      <c r="C48" s="80"/>
      <c r="D48" s="80"/>
      <c r="E48" s="80"/>
      <c r="F48" s="80"/>
      <c r="G48" s="80"/>
      <c r="H48" s="80"/>
      <c r="I48" s="80"/>
      <c r="J48" s="83"/>
    </row>
    <row r="49" spans="1:10">
      <c r="A49" s="79"/>
      <c r="B49" s="80"/>
      <c r="C49" s="80"/>
      <c r="D49" s="80"/>
      <c r="E49" s="80"/>
      <c r="F49" s="80"/>
      <c r="G49" s="80"/>
      <c r="H49" s="80"/>
      <c r="I49" s="80"/>
      <c r="J49" s="83"/>
    </row>
    <row r="50" spans="1:10">
      <c r="A50" s="79"/>
      <c r="B50" s="80"/>
      <c r="C50" s="80"/>
      <c r="D50" s="80"/>
      <c r="E50" s="80"/>
      <c r="F50" s="80"/>
      <c r="G50" s="80"/>
      <c r="H50" s="80"/>
      <c r="I50" s="80"/>
      <c r="J50" s="83"/>
    </row>
    <row r="51" spans="1:10">
      <c r="A51" s="79"/>
      <c r="B51" s="80"/>
      <c r="C51" s="80"/>
      <c r="D51" s="80"/>
      <c r="E51" s="80"/>
      <c r="F51" s="80"/>
      <c r="G51" s="80"/>
      <c r="H51" s="80"/>
      <c r="I51" s="80"/>
      <c r="J51" s="83"/>
    </row>
    <row r="52" spans="1:10">
      <c r="A52" s="79"/>
      <c r="B52" s="80"/>
      <c r="C52" s="80"/>
      <c r="D52" s="80"/>
      <c r="E52" s="80"/>
      <c r="F52" s="80"/>
      <c r="G52" s="80"/>
      <c r="H52" s="80"/>
      <c r="I52" s="80"/>
      <c r="J52" s="83"/>
    </row>
    <row r="53" spans="1:10">
      <c r="A53" s="79"/>
      <c r="B53" s="80"/>
      <c r="C53" s="80"/>
      <c r="D53" s="80"/>
      <c r="E53" s="80"/>
      <c r="F53" s="80"/>
      <c r="G53" s="80"/>
      <c r="H53" s="80"/>
      <c r="I53" s="80"/>
      <c r="J53" s="83"/>
    </row>
    <row r="54" spans="1:10">
      <c r="A54" s="79"/>
      <c r="B54" s="80"/>
      <c r="C54" s="80"/>
      <c r="D54" s="80"/>
      <c r="E54" s="80"/>
      <c r="F54" s="80"/>
      <c r="G54" s="80"/>
      <c r="H54" s="80"/>
      <c r="I54" s="80"/>
      <c r="J54" s="83"/>
    </row>
    <row r="55" spans="1:10">
      <c r="A55" s="79"/>
      <c r="B55" s="80"/>
      <c r="C55" s="80"/>
      <c r="D55" s="80"/>
      <c r="E55" s="80"/>
      <c r="F55" s="80"/>
      <c r="G55" s="80"/>
      <c r="H55" s="80"/>
      <c r="I55" s="80"/>
      <c r="J55" s="83"/>
    </row>
    <row r="56" spans="1:10">
      <c r="A56" s="79"/>
      <c r="B56" s="80"/>
      <c r="C56" s="80"/>
      <c r="D56" s="80"/>
      <c r="E56" s="80"/>
      <c r="F56" s="80"/>
      <c r="G56" s="80"/>
      <c r="H56" s="80"/>
      <c r="I56" s="80"/>
      <c r="J56" s="83"/>
    </row>
    <row r="57" spans="1:10">
      <c r="A57" s="79"/>
      <c r="B57" s="80"/>
      <c r="C57" s="80"/>
      <c r="D57" s="80"/>
      <c r="E57" s="80"/>
      <c r="F57" s="80"/>
      <c r="G57" s="80"/>
      <c r="H57" s="80"/>
      <c r="I57" s="80"/>
      <c r="J57" s="83"/>
    </row>
    <row r="58" spans="1:10">
      <c r="A58" s="79"/>
      <c r="B58" s="80"/>
      <c r="C58" s="80"/>
      <c r="D58" s="80"/>
      <c r="E58" s="80"/>
      <c r="F58" s="80"/>
      <c r="G58" s="80"/>
      <c r="H58" s="80"/>
      <c r="I58" s="80"/>
      <c r="J58" s="83"/>
    </row>
    <row r="59" spans="1:10">
      <c r="A59" s="79"/>
      <c r="B59" s="80"/>
      <c r="C59" s="80"/>
      <c r="D59" s="80"/>
      <c r="E59" s="80"/>
      <c r="F59" s="80"/>
      <c r="G59" s="80"/>
      <c r="H59" s="80"/>
      <c r="I59" s="80"/>
      <c r="J59" s="83"/>
    </row>
    <row r="60" spans="1:10">
      <c r="A60" s="79"/>
      <c r="B60" s="80"/>
      <c r="C60" s="80"/>
      <c r="D60" s="80"/>
      <c r="E60" s="80"/>
      <c r="F60" s="80"/>
      <c r="G60" s="80"/>
      <c r="H60" s="80"/>
      <c r="I60" s="80"/>
      <c r="J60" s="83"/>
    </row>
    <row r="61" spans="1:10">
      <c r="A61" s="79"/>
      <c r="B61" s="80"/>
      <c r="C61" s="80"/>
      <c r="D61" s="80"/>
      <c r="E61" s="80"/>
      <c r="F61" s="80"/>
      <c r="G61" s="80"/>
      <c r="H61" s="80"/>
      <c r="I61" s="80"/>
      <c r="J61" s="83"/>
    </row>
    <row r="62" spans="1:10">
      <c r="A62" s="79"/>
      <c r="B62" s="80"/>
      <c r="C62" s="80"/>
      <c r="D62" s="80"/>
      <c r="E62" s="80"/>
      <c r="F62" s="80"/>
      <c r="G62" s="80"/>
      <c r="H62" s="80"/>
      <c r="I62" s="80"/>
      <c r="J62" s="83"/>
    </row>
    <row r="63" spans="1:10">
      <c r="A63" s="79"/>
      <c r="B63" s="80"/>
      <c r="C63" s="80"/>
      <c r="D63" s="80"/>
      <c r="E63" s="80"/>
      <c r="F63" s="80"/>
      <c r="G63" s="80"/>
      <c r="H63" s="80"/>
      <c r="I63" s="80"/>
      <c r="J63" s="83"/>
    </row>
    <row r="64" spans="1:10" ht="12" thickBot="1">
      <c r="A64" s="209"/>
      <c r="B64" s="133"/>
      <c r="C64" s="133"/>
      <c r="D64" s="133"/>
      <c r="E64" s="133"/>
      <c r="F64" s="133"/>
      <c r="G64" s="133"/>
      <c r="H64" s="133"/>
      <c r="I64" s="133"/>
      <c r="J64" s="135"/>
    </row>
    <row r="65" spans="1:10" ht="12">
      <c r="A65" s="567"/>
      <c r="B65" s="567"/>
      <c r="C65" s="568">
        <f>PROJNAME</f>
        <v>0</v>
      </c>
      <c r="D65" s="567"/>
      <c r="E65" s="567"/>
      <c r="F65" s="567"/>
      <c r="G65" s="553"/>
      <c r="H65" s="554" t="e">
        <f>'1. Description'!$G$59</f>
        <v>#VALUE!</v>
      </c>
      <c r="I65" s="1347" t="e">
        <f>'1. Description'!$H$59</f>
        <v>#VALUE!</v>
      </c>
      <c r="J65" s="1347"/>
    </row>
  </sheetData>
  <mergeCells count="5">
    <mergeCell ref="I65:J65"/>
    <mergeCell ref="D5:I5"/>
    <mergeCell ref="D13:H14"/>
    <mergeCell ref="D15:H15"/>
    <mergeCell ref="D16:H16"/>
  </mergeCells>
  <phoneticPr fontId="140" type="noConversion"/>
  <printOptions horizontalCentered="1" gridLinesSet="0"/>
  <pageMargins left="7.0000000000000007E-2" right="7.0000000000000007E-2" top="7.0000000000000007E-2" bottom="7.0000000000000007E-2" header="7.0000000000000007E-2" footer="7.0000000000000007E-2"/>
  <pageSetup scale="98"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codeName="Sheet9"/>
  <dimension ref="A1:M498"/>
  <sheetViews>
    <sheetView showGridLines="0" zoomScaleNormal="100" workbookViewId="0"/>
  </sheetViews>
  <sheetFormatPr defaultColWidth="9.6640625" defaultRowHeight="11.25"/>
  <cols>
    <col min="1" max="1" width="4.33203125" style="103" customWidth="1"/>
    <col min="2" max="2" width="1.6640625" style="103" customWidth="1"/>
    <col min="3" max="3" width="18.1640625" style="103" customWidth="1"/>
    <col min="4" max="9" width="18.83203125" style="103" customWidth="1"/>
    <col min="10" max="10" width="3.1640625" style="103" customWidth="1"/>
    <col min="11" max="11" width="24.6640625" style="103" customWidth="1"/>
    <col min="12" max="12" width="19.6640625" style="103" bestFit="1" customWidth="1"/>
    <col min="13" max="16384" width="9.6640625" style="103"/>
  </cols>
  <sheetData>
    <row r="1" spans="1:10" ht="12.75">
      <c r="A1" s="63" t="str">
        <f>'1. Description'!A1</f>
        <v>One Stop2000 Affordable Housing Finance Application [Version 1.21] ©</v>
      </c>
      <c r="B1" s="569"/>
      <c r="C1" s="569"/>
      <c r="D1" s="569"/>
      <c r="E1" s="570"/>
      <c r="F1" s="569"/>
      <c r="G1" s="570"/>
      <c r="H1" s="570"/>
      <c r="I1" s="569"/>
      <c r="J1" s="569"/>
    </row>
    <row r="2" spans="1:10" ht="13.5" thickBot="1">
      <c r="A2" s="252"/>
      <c r="B2" s="252"/>
      <c r="C2" s="252"/>
      <c r="D2" s="252"/>
      <c r="E2" s="252"/>
      <c r="F2" s="252"/>
      <c r="G2" s="252"/>
      <c r="H2" s="139" t="s">
        <v>375</v>
      </c>
      <c r="I2" s="139"/>
      <c r="J2" s="139"/>
    </row>
    <row r="3" spans="1:10" ht="26.25" thickBot="1">
      <c r="A3" s="571" t="s">
        <v>376</v>
      </c>
      <c r="B3" s="572"/>
      <c r="C3" s="572"/>
      <c r="D3" s="572"/>
      <c r="E3" s="572"/>
      <c r="F3" s="572"/>
      <c r="G3" s="572"/>
      <c r="H3" s="572"/>
      <c r="I3" s="572"/>
      <c r="J3" s="573"/>
    </row>
    <row r="4" spans="1:10" ht="16.5" thickTop="1" thickBot="1">
      <c r="A4" s="574" t="s">
        <v>377</v>
      </c>
      <c r="B4" s="108"/>
      <c r="C4" s="108"/>
      <c r="D4" s="108"/>
      <c r="E4" s="108"/>
      <c r="F4" s="108"/>
      <c r="G4" s="108"/>
      <c r="H4" s="108"/>
      <c r="I4" s="108"/>
      <c r="J4" s="575"/>
    </row>
    <row r="5" spans="1:10" ht="12" thickTop="1">
      <c r="A5" s="576"/>
      <c r="B5" s="577"/>
      <c r="C5" s="577"/>
      <c r="D5" s="577"/>
      <c r="E5" s="578"/>
      <c r="F5" s="578"/>
      <c r="G5" s="578"/>
      <c r="H5" s="578"/>
      <c r="I5" s="578"/>
      <c r="J5" s="579"/>
    </row>
    <row r="6" spans="1:10" ht="15.75">
      <c r="A6" s="576"/>
      <c r="B6" s="577"/>
      <c r="C6" s="838" t="s">
        <v>369</v>
      </c>
      <c r="D6" s="838"/>
      <c r="E6" s="580" t="str">
        <f>IF('1. Description'!E7&lt;&gt;" ",'1. Description'!E7,"          N/A")</f>
        <v xml:space="preserve">          N/A</v>
      </c>
      <c r="F6" s="581"/>
      <c r="G6" s="581"/>
      <c r="H6" s="581"/>
      <c r="I6" s="582"/>
      <c r="J6" s="583"/>
    </row>
    <row r="7" spans="1:10" ht="15.75">
      <c r="A7" s="576"/>
      <c r="B7" s="577"/>
      <c r="C7" s="838" t="s">
        <v>91</v>
      </c>
      <c r="D7" s="838"/>
      <c r="E7" s="580" t="str">
        <f>IF('2. Dev. Team'!F16&lt;&gt;" ",'2. Dev. Team'!F16,"          N/A")</f>
        <v xml:space="preserve">          N/A</v>
      </c>
      <c r="F7" s="581"/>
      <c r="G7" s="581"/>
      <c r="H7" s="581"/>
      <c r="I7" s="582"/>
      <c r="J7" s="583"/>
    </row>
    <row r="8" spans="1:10" ht="15.75">
      <c r="A8" s="576"/>
      <c r="B8" s="577"/>
      <c r="C8" s="838" t="s">
        <v>90</v>
      </c>
      <c r="D8" s="838"/>
      <c r="E8" s="580" t="str">
        <f>IF('1. Description'!E13&lt;&gt;" ",'1. Description'!E13,"          N/A")</f>
        <v xml:space="preserve">          N/A</v>
      </c>
      <c r="F8" s="581"/>
      <c r="G8" s="582"/>
      <c r="H8" s="241"/>
      <c r="I8" s="241"/>
      <c r="J8" s="583"/>
    </row>
    <row r="9" spans="1:10" ht="15">
      <c r="A9" s="576"/>
      <c r="B9" s="577"/>
      <c r="C9" s="804"/>
      <c r="D9" s="804"/>
      <c r="E9" s="577"/>
      <c r="F9" s="577"/>
      <c r="G9" s="577"/>
      <c r="H9" s="577"/>
      <c r="I9" s="577"/>
      <c r="J9" s="579"/>
    </row>
    <row r="10" spans="1:10" ht="15.75">
      <c r="A10" s="576"/>
      <c r="B10" s="577"/>
      <c r="C10" s="838" t="s">
        <v>89</v>
      </c>
      <c r="D10" s="838"/>
      <c r="E10" s="182">
        <f>'1. Description'!I72</f>
        <v>0</v>
      </c>
      <c r="F10" s="241"/>
      <c r="G10" s="241"/>
      <c r="H10" s="241"/>
      <c r="I10" s="241"/>
      <c r="J10" s="583"/>
    </row>
    <row r="11" spans="1:10">
      <c r="A11" s="576"/>
      <c r="B11" s="577"/>
      <c r="C11" s="577"/>
      <c r="D11" s="577"/>
      <c r="E11" s="577"/>
      <c r="F11" s="577"/>
      <c r="G11" s="577"/>
      <c r="H11" s="577"/>
      <c r="I11" s="577"/>
      <c r="J11" s="579"/>
    </row>
    <row r="12" spans="1:10" ht="12.75">
      <c r="A12" s="584"/>
      <c r="B12" s="585"/>
      <c r="C12" s="634" t="str">
        <f>bedroom_type1</f>
        <v>SRO</v>
      </c>
      <c r="D12" s="193">
        <f>'1. Description'!I66</f>
        <v>0</v>
      </c>
      <c r="E12" s="585"/>
      <c r="F12" s="837" t="s">
        <v>478</v>
      </c>
      <c r="G12" s="837"/>
      <c r="H12" s="837"/>
      <c r="I12" s="193">
        <f>'1. Description'!D72</f>
        <v>0</v>
      </c>
      <c r="J12" s="587"/>
    </row>
    <row r="13" spans="1:10" ht="12.75">
      <c r="A13" s="584"/>
      <c r="B13" s="585"/>
      <c r="C13" s="634" t="str">
        <f>bedroom_type2</f>
        <v>0 bedroom</v>
      </c>
      <c r="D13" s="193">
        <f>'1. Description'!I67</f>
        <v>0</v>
      </c>
      <c r="E13" s="585"/>
      <c r="F13" s="837" t="s">
        <v>479</v>
      </c>
      <c r="G13" s="837"/>
      <c r="H13" s="837"/>
      <c r="I13" s="193">
        <f>'1. Description'!E72</f>
        <v>0</v>
      </c>
      <c r="J13" s="587"/>
    </row>
    <row r="14" spans="1:10" ht="12.75">
      <c r="A14" s="584"/>
      <c r="B14" s="585"/>
      <c r="C14" s="634" t="str">
        <f>bedroom_type3</f>
        <v>1 bedroom</v>
      </c>
      <c r="D14" s="193">
        <f>'1. Description'!I68</f>
        <v>0</v>
      </c>
      <c r="E14" s="585"/>
      <c r="F14" s="837" t="s">
        <v>480</v>
      </c>
      <c r="G14" s="837"/>
      <c r="H14" s="837"/>
      <c r="I14" s="193">
        <f>'1. Description'!F72</f>
        <v>0</v>
      </c>
      <c r="J14" s="587"/>
    </row>
    <row r="15" spans="1:10" ht="12.75">
      <c r="A15" s="584"/>
      <c r="B15" s="585"/>
      <c r="C15" s="634" t="str">
        <f>bedroom_type4</f>
        <v>2 bedrooms</v>
      </c>
      <c r="D15" s="193">
        <f>'1. Description'!I69</f>
        <v>0</v>
      </c>
      <c r="E15" s="585"/>
      <c r="F15" s="837" t="str">
        <f>"Other Income " &amp;'1. Description'!$G$65</f>
        <v>Other Income (User-defined)</v>
      </c>
      <c r="G15" s="837"/>
      <c r="H15" s="837"/>
      <c r="I15" s="193">
        <f>'1. Description'!G72</f>
        <v>0</v>
      </c>
      <c r="J15" s="587"/>
    </row>
    <row r="16" spans="1:10" ht="12.75">
      <c r="A16" s="584"/>
      <c r="B16" s="585"/>
      <c r="C16" s="634" t="str">
        <f>bedroom_type5</f>
        <v>3 bedrooms</v>
      </c>
      <c r="D16" s="193">
        <f>'1. Description'!I70</f>
        <v>0</v>
      </c>
      <c r="E16" s="585"/>
      <c r="F16" s="837" t="s">
        <v>1434</v>
      </c>
      <c r="G16" s="837"/>
      <c r="H16" s="837"/>
      <c r="I16" s="193">
        <f>'1. Description'!H72</f>
        <v>0</v>
      </c>
      <c r="J16" s="587"/>
    </row>
    <row r="17" spans="1:12" ht="12.75">
      <c r="A17" s="584"/>
      <c r="B17" s="585"/>
      <c r="C17" s="634" t="str">
        <f>bedroom_type6</f>
        <v>4 bedrooms</v>
      </c>
      <c r="D17" s="193">
        <f>'1. Description'!I71</f>
        <v>0</v>
      </c>
      <c r="E17" s="585"/>
      <c r="F17" s="585"/>
      <c r="G17" s="585"/>
      <c r="H17" s="585"/>
      <c r="I17" s="585"/>
      <c r="J17" s="587"/>
    </row>
    <row r="18" spans="1:12">
      <c r="A18" s="576"/>
      <c r="B18" s="577"/>
      <c r="C18" s="577"/>
      <c r="D18" s="577"/>
      <c r="E18" s="577"/>
      <c r="F18" s="577"/>
      <c r="G18" s="577"/>
      <c r="H18" s="577"/>
      <c r="I18" s="577"/>
      <c r="J18" s="579"/>
    </row>
    <row r="19" spans="1:12" ht="12.75">
      <c r="A19" s="576"/>
      <c r="B19" s="577"/>
      <c r="C19" s="585" t="s">
        <v>382</v>
      </c>
      <c r="D19" s="585"/>
      <c r="E19" s="588" t="str">
        <f>'1. Description'!D99</f>
        <v>DHCD Tax Credit Allocation .......................................................…..</v>
      </c>
      <c r="F19" s="588"/>
      <c r="G19" s="588"/>
      <c r="H19" s="733" t="str">
        <f>'1. Description'!H99</f>
        <v>No</v>
      </c>
      <c r="I19" s="585"/>
      <c r="J19" s="587"/>
    </row>
    <row r="20" spans="1:12" ht="12.75">
      <c r="A20" s="576"/>
      <c r="B20" s="577"/>
      <c r="C20" s="585"/>
      <c r="D20" s="585"/>
      <c r="E20" s="588" t="str">
        <f>'1. Description'!D103</f>
        <v>HOME Funding through DHCD ............................................................................................</v>
      </c>
      <c r="F20" s="588"/>
      <c r="G20" s="588"/>
      <c r="H20" s="733" t="str">
        <f>'1. Description'!H103</f>
        <v>No</v>
      </c>
      <c r="I20" s="585"/>
      <c r="J20" s="587"/>
      <c r="L20" s="589"/>
    </row>
    <row r="21" spans="1:12" ht="12.75">
      <c r="A21" s="576"/>
      <c r="B21" s="577"/>
      <c r="C21" s="585"/>
      <c r="D21" s="585"/>
      <c r="E21" s="588" t="s">
        <v>1062</v>
      </c>
      <c r="F21" s="588"/>
      <c r="G21" s="588"/>
      <c r="H21" s="733" t="str">
        <f>'1. Description'!H106</f>
        <v>No</v>
      </c>
      <c r="I21" s="585"/>
      <c r="J21" s="587"/>
      <c r="L21" s="589"/>
    </row>
    <row r="22" spans="1:12" ht="12.75">
      <c r="A22" s="576"/>
      <c r="B22" s="577"/>
      <c r="C22" s="585"/>
      <c r="D22" s="585"/>
      <c r="E22" s="588" t="s">
        <v>1063</v>
      </c>
      <c r="F22" s="588"/>
      <c r="G22" s="588"/>
      <c r="H22" s="733" t="str">
        <f>'1. Description'!H107</f>
        <v>No</v>
      </c>
      <c r="I22" s="585"/>
      <c r="J22" s="587"/>
      <c r="L22" s="589"/>
    </row>
    <row r="23" spans="1:12" ht="12.75">
      <c r="A23" s="576"/>
      <c r="B23" s="577"/>
      <c r="C23" s="585"/>
      <c r="D23" s="585"/>
      <c r="E23" s="588" t="s">
        <v>1173</v>
      </c>
      <c r="F23" s="588"/>
      <c r="G23" s="588"/>
      <c r="H23" s="733" t="str">
        <f>'1. Description'!H108</f>
        <v>No</v>
      </c>
      <c r="I23" s="585"/>
      <c r="J23" s="587"/>
    </row>
    <row r="24" spans="1:12" ht="12.75">
      <c r="A24" s="576"/>
      <c r="B24" s="577"/>
      <c r="C24" s="585"/>
      <c r="D24" s="585"/>
      <c r="E24" s="588" t="s">
        <v>401</v>
      </c>
      <c r="F24" s="588"/>
      <c r="G24" s="588"/>
      <c r="H24" s="733" t="str">
        <f>'1. Description'!H111</f>
        <v>No</v>
      </c>
      <c r="I24" s="585"/>
      <c r="J24" s="587"/>
    </row>
    <row r="25" spans="1:12" ht="12.75">
      <c r="A25" s="576"/>
      <c r="B25" s="577"/>
      <c r="C25" s="585"/>
      <c r="D25" s="585"/>
      <c r="E25" s="588" t="s">
        <v>1400</v>
      </c>
      <c r="F25" s="588"/>
      <c r="G25" s="588"/>
      <c r="H25" s="733" t="str">
        <f>'1. Description'!H114</f>
        <v>No</v>
      </c>
      <c r="I25" s="585"/>
      <c r="J25" s="587"/>
    </row>
    <row r="26" spans="1:12" ht="12.75">
      <c r="A26" s="576"/>
      <c r="B26" s="577"/>
      <c r="C26" s="585"/>
      <c r="D26" s="585"/>
      <c r="E26" s="588" t="s">
        <v>406</v>
      </c>
      <c r="F26" s="588"/>
      <c r="G26" s="588"/>
      <c r="H26" s="733" t="str">
        <f>'1. Description'!H115</f>
        <v>No</v>
      </c>
      <c r="I26" s="585"/>
      <c r="J26" s="587"/>
    </row>
    <row r="27" spans="1:12" ht="12.75">
      <c r="A27" s="576"/>
      <c r="B27" s="577"/>
      <c r="C27" s="585"/>
      <c r="D27" s="585"/>
      <c r="E27" s="588" t="s">
        <v>1399</v>
      </c>
      <c r="F27" s="588"/>
      <c r="G27" s="588"/>
      <c r="H27" s="733" t="str">
        <f>'1. Description'!H117</f>
        <v>No</v>
      </c>
      <c r="I27" s="585"/>
      <c r="J27" s="587"/>
    </row>
    <row r="28" spans="1:12" ht="12.75">
      <c r="A28" s="576"/>
      <c r="B28" s="577"/>
      <c r="C28" s="585"/>
      <c r="D28" s="585"/>
      <c r="E28" s="588" t="str">
        <f>'1. Description'!D120</f>
        <v>Other……………………………………………………………………</v>
      </c>
      <c r="G28" s="590"/>
      <c r="H28" s="733" t="str">
        <f>other1</f>
        <v>N/A</v>
      </c>
      <c r="I28" s="585"/>
      <c r="J28" s="587"/>
    </row>
    <row r="29" spans="1:12" ht="12.75">
      <c r="A29" s="576"/>
      <c r="B29" s="577"/>
      <c r="C29" s="585"/>
      <c r="D29" s="585"/>
      <c r="E29" s="588" t="str">
        <f>'1. Description'!D121</f>
        <v>Other……………………………………………………………………</v>
      </c>
      <c r="F29" s="588"/>
      <c r="G29" s="588"/>
      <c r="H29" s="733" t="str">
        <f>other2</f>
        <v>N/A</v>
      </c>
      <c r="I29" s="585"/>
      <c r="J29" s="587"/>
    </row>
    <row r="30" spans="1:12" ht="12.75">
      <c r="A30" s="576"/>
      <c r="B30" s="577"/>
      <c r="C30" s="585"/>
      <c r="D30" s="585"/>
      <c r="E30" s="588" t="str">
        <f>'1. Description'!D122</f>
        <v>Other……………………………………………………………………</v>
      </c>
      <c r="F30" s="588"/>
      <c r="G30" s="588"/>
      <c r="H30" s="733" t="str">
        <f>other3</f>
        <v>N/A</v>
      </c>
      <c r="I30" s="585"/>
      <c r="J30" s="587"/>
    </row>
    <row r="31" spans="1:12" ht="12.75">
      <c r="A31" s="576"/>
      <c r="B31" s="577"/>
      <c r="C31" s="577"/>
      <c r="D31" s="577"/>
      <c r="E31" s="588" t="s">
        <v>798</v>
      </c>
      <c r="F31" s="577"/>
      <c r="G31" s="577"/>
      <c r="H31" s="733" t="str">
        <f>fin_massdevelopment</f>
        <v>No</v>
      </c>
      <c r="I31" s="577"/>
      <c r="J31" s="579"/>
    </row>
    <row r="32" spans="1:12" ht="15.75">
      <c r="A32" s="576"/>
      <c r="B32" s="591" t="s">
        <v>407</v>
      </c>
      <c r="C32" s="577"/>
      <c r="D32" s="241"/>
      <c r="E32" s="241"/>
      <c r="F32" s="591" t="s">
        <v>408</v>
      </c>
      <c r="G32" s="241"/>
      <c r="H32" s="241"/>
      <c r="I32" s="241"/>
      <c r="J32" s="583"/>
    </row>
    <row r="33" spans="1:10" ht="12.75">
      <c r="A33" s="584"/>
      <c r="B33" s="585"/>
      <c r="C33" s="585" t="s">
        <v>411</v>
      </c>
      <c r="D33" s="585"/>
      <c r="E33" s="592">
        <f>'3. Sources Uses'!G8+'3. Sources Uses'!G10+'3. Sources Uses'!G11+0</f>
        <v>0</v>
      </c>
      <c r="F33" s="585"/>
      <c r="G33" s="585" t="s">
        <v>412</v>
      </c>
      <c r="H33" s="585"/>
      <c r="I33" s="592">
        <f>'3. Sources Uses'!E129+0</f>
        <v>0</v>
      </c>
      <c r="J33" s="587"/>
    </row>
    <row r="34" spans="1:10" ht="12.75">
      <c r="A34" s="584"/>
      <c r="B34" s="585"/>
      <c r="C34" s="585" t="s">
        <v>413</v>
      </c>
      <c r="D34" s="585"/>
      <c r="E34" s="592">
        <f>'3. Sources Uses'!G9+0</f>
        <v>0</v>
      </c>
      <c r="F34" s="585"/>
      <c r="G34" s="585" t="s">
        <v>414</v>
      </c>
      <c r="H34" s="585"/>
      <c r="I34" s="592">
        <f>'3. Sources Uses'!E133+0</f>
        <v>0</v>
      </c>
      <c r="J34" s="587"/>
    </row>
    <row r="35" spans="1:10" ht="12.75">
      <c r="A35" s="584"/>
      <c r="B35" s="585"/>
      <c r="C35" s="585" t="s">
        <v>418</v>
      </c>
      <c r="D35" s="585"/>
      <c r="E35" s="592">
        <f>'3. Sources Uses'!F17+0</f>
        <v>0</v>
      </c>
      <c r="F35" s="585"/>
      <c r="G35" s="585" t="s">
        <v>419</v>
      </c>
      <c r="H35" s="585"/>
      <c r="I35" s="592">
        <f>'3. Sources Uses'!E162+0</f>
        <v>0</v>
      </c>
      <c r="J35" s="587"/>
    </row>
    <row r="36" spans="1:10" ht="12.75">
      <c r="A36" s="584"/>
      <c r="B36" s="585"/>
      <c r="C36" s="585" t="s">
        <v>420</v>
      </c>
      <c r="D36" s="585"/>
      <c r="E36" s="592">
        <f>'3. Sources Uses'!F30+0</f>
        <v>0</v>
      </c>
      <c r="F36" s="585"/>
      <c r="G36" s="585" t="s">
        <v>421</v>
      </c>
      <c r="H36" s="585"/>
      <c r="I36" s="592">
        <f>'3. Sources Uses'!E168+0</f>
        <v>0</v>
      </c>
      <c r="J36" s="587"/>
    </row>
    <row r="37" spans="1:10" ht="12.75">
      <c r="A37" s="584"/>
      <c r="B37" s="585"/>
      <c r="C37" s="585" t="s">
        <v>422</v>
      </c>
      <c r="D37" s="585"/>
      <c r="E37" s="592">
        <f>'3. Sources Uses'!F41+0</f>
        <v>0</v>
      </c>
      <c r="F37" s="585"/>
      <c r="G37" s="585" t="s">
        <v>423</v>
      </c>
      <c r="H37" s="585"/>
      <c r="I37" s="592">
        <f>'3. Sources Uses'!E169+0</f>
        <v>0</v>
      </c>
      <c r="J37" s="587"/>
    </row>
    <row r="38" spans="1:10" ht="12.75">
      <c r="A38" s="584"/>
      <c r="B38" s="585"/>
      <c r="C38" s="593" t="s">
        <v>424</v>
      </c>
      <c r="D38" s="585"/>
      <c r="E38" s="592">
        <f>SUM(E33:E37)</f>
        <v>0</v>
      </c>
      <c r="F38" s="585"/>
      <c r="G38" s="585" t="s">
        <v>425</v>
      </c>
      <c r="H38" s="585"/>
      <c r="I38" s="592">
        <f>'3. Sources Uses'!E167</f>
        <v>0</v>
      </c>
      <c r="J38" s="587"/>
    </row>
    <row r="39" spans="1:10" ht="12.75">
      <c r="A39" s="576"/>
      <c r="B39" s="577"/>
      <c r="C39" s="577"/>
      <c r="D39" s="577"/>
      <c r="E39" s="577"/>
      <c r="F39" s="577"/>
      <c r="G39" s="593" t="s">
        <v>426</v>
      </c>
      <c r="H39" s="585"/>
      <c r="I39" s="592">
        <f>SUM(I33:I38)</f>
        <v>0</v>
      </c>
      <c r="J39" s="579"/>
    </row>
    <row r="40" spans="1:10" ht="12.75">
      <c r="A40" s="576"/>
      <c r="B40" s="577"/>
      <c r="C40" s="585" t="s">
        <v>427</v>
      </c>
      <c r="D40" s="585"/>
      <c r="E40" s="592">
        <f>I39-E38</f>
        <v>0</v>
      </c>
      <c r="F40" s="585"/>
      <c r="G40" s="577"/>
      <c r="H40" s="577"/>
      <c r="I40" s="577"/>
      <c r="J40" s="579"/>
    </row>
    <row r="41" spans="1:10">
      <c r="A41" s="576"/>
      <c r="B41" s="577"/>
      <c r="C41" s="577"/>
      <c r="D41" s="577"/>
      <c r="E41" s="577"/>
      <c r="F41" s="577"/>
      <c r="G41" s="577"/>
      <c r="H41" s="577"/>
      <c r="I41" s="577"/>
      <c r="J41" s="579"/>
    </row>
    <row r="42" spans="1:10" ht="15.75">
      <c r="A42" s="576"/>
      <c r="B42" s="591" t="s">
        <v>428</v>
      </c>
      <c r="C42" s="241"/>
      <c r="D42" s="241"/>
      <c r="E42" s="241"/>
      <c r="F42" s="241"/>
      <c r="G42" s="594" t="s">
        <v>430</v>
      </c>
      <c r="H42" s="241"/>
      <c r="I42" s="594" t="s">
        <v>431</v>
      </c>
      <c r="J42" s="583"/>
    </row>
    <row r="43" spans="1:10" ht="12.75">
      <c r="A43" s="584"/>
      <c r="B43" s="585"/>
      <c r="C43" s="585" t="s">
        <v>432</v>
      </c>
      <c r="D43" s="585"/>
      <c r="E43" s="743" t="str">
        <f>IF(SUM('4. Operating'!I8:I13)&lt;&gt;0,SUM('4. Operating'!J8:J13)/(SUM('4. Operating'!I8:I13)*12),"N/A")</f>
        <v>N/A</v>
      </c>
      <c r="F43" s="585"/>
      <c r="G43" s="744" t="str">
        <f>IF('1. Description'!D72&lt;&gt;0,(('1. Description'!D66*numbdr1)+('1. Description'!D67*numbdr2)+('1. Description'!D68*numbdr3)+('1. Description'!D69*numbdr4)+('1. Description'!D70*numbdr5)+('1. Description'!D71*numbdr6))/'1. Description'!D72,"N/A")</f>
        <v>N/A</v>
      </c>
      <c r="H43" s="585"/>
      <c r="I43" s="745" t="str">
        <f>IF('1. Description'!D72&lt;&gt;0,('1. Description'!D79*'1. Description'!D66+'1. Description'!D80*'1. Description'!D67+'1. Description'!D81*'1. Description'!D68+'1. Description'!D82*'1. Description'!D69+'1. Description'!D83*'1. Description'!D70+'1. Description'!D84*'1. Description'!D71)/'1. Description'!D72,"N/A")</f>
        <v>N/A</v>
      </c>
      <c r="J43" s="587"/>
    </row>
    <row r="44" spans="1:10" ht="12.75">
      <c r="A44" s="584"/>
      <c r="B44" s="585"/>
      <c r="C44" s="585" t="s">
        <v>433</v>
      </c>
      <c r="D44" s="585"/>
      <c r="E44" s="743" t="str">
        <f>IF(SUM('4. Operating'!I16:I21)&lt;&gt;0,SUM('4. Operating'!J16:J21)/(SUM('4. Operating'!I16:I21)*12),"N/A")</f>
        <v>N/A</v>
      </c>
      <c r="F44" s="585"/>
      <c r="G44" s="744" t="str">
        <f>IF('1. Description'!E72&lt;&gt;0,(('1. Description'!E66*numbdr1)+('1. Description'!E67*numbdr2)+('1. Description'!E68*numbdr3)+('1. Description'!E69*numbdr4)+('1. Description'!E70*numbdr5)+('1. Description'!E71*numbdr6))/'1. Description'!E72,"N/A")</f>
        <v>N/A</v>
      </c>
      <c r="H44" s="585"/>
      <c r="I44" s="745" t="str">
        <f>IF('1. Description'!E72&lt;&gt;0,('1. Description'!E79*'1. Description'!E66+'1. Description'!E80*'1. Description'!E67+'1. Description'!E81*'1. Description'!E68+'1. Description'!E82*'1. Description'!E69+'1. Description'!E83*'1. Description'!E70+'1. Description'!E84*'1. Description'!E71)/'1. Description'!E72,"N/A")</f>
        <v>N/A</v>
      </c>
      <c r="J44" s="587"/>
    </row>
    <row r="45" spans="1:10" ht="12.75">
      <c r="A45" s="584"/>
      <c r="B45" s="585"/>
      <c r="C45" s="585" t="s">
        <v>434</v>
      </c>
      <c r="D45" s="585"/>
      <c r="E45" s="743" t="str">
        <f>IF(SUM('4. Operating'!I24:I29)&lt;&gt;0,SUM('4. Operating'!J24:J29)/(SUM('4. Operating'!I24:I29)*12),"N/A")</f>
        <v>N/A</v>
      </c>
      <c r="F45" s="585"/>
      <c r="G45" s="744" t="str">
        <f>IF('1. Description'!F72&lt;&gt;0,(('1. Description'!F66*numbdr1)+('1. Description'!F67*numbdr2)+('1. Description'!F68*numbdr3)+('1. Description'!F69*numbdr4)+('1. Description'!F70*numbdr5)+('1. Description'!F71*numbdr6))/'1. Description'!F72,"N/A")</f>
        <v>N/A</v>
      </c>
      <c r="H45" s="585"/>
      <c r="I45" s="745" t="str">
        <f>IF('1. Description'!F72&lt;&gt;0,('1. Description'!F79*'1. Description'!F66+'1. Description'!F80*'1. Description'!F67+'1. Description'!F81*'1. Description'!F68+'1. Description'!F82*'1. Description'!F69+'1. Description'!F83*'1. Description'!F70+'1. Description'!F84*'1. Description'!F71)/'1. Description'!F72,"N/A")</f>
        <v>N/A</v>
      </c>
      <c r="J45" s="587"/>
    </row>
    <row r="46" spans="1:10" ht="12.75">
      <c r="A46" s="584"/>
      <c r="B46" s="585"/>
      <c r="C46" s="585" t="str">
        <f>"Other Income " &amp;'1. Description'!$G$78 &amp; "……….…………..…………."</f>
        <v>Other Income (User-defined)……….…………..………….</v>
      </c>
      <c r="D46" s="585"/>
      <c r="E46" s="743" t="str">
        <f>IF(SUM('4. Operating'!I32:I37)&lt;&gt;0,SUM('4. Operating'!J32:J37)/(SUM('4. Operating'!I32:I37)*12),"N/A")</f>
        <v>N/A</v>
      </c>
      <c r="F46" s="585"/>
      <c r="G46" s="744" t="str">
        <f>IF('1. Description'!G72&lt;&gt;0,(('1. Description'!G66*numbdr1)+('1. Description'!G67*numbdr2)+('1. Description'!G68*numbdr3)+('1. Description'!G69*numbdr4)+('1. Description'!G70*numbdr5)+('1. Description'!G71*numbdr6))/'1. Description'!G72,"N/A")</f>
        <v>N/A</v>
      </c>
      <c r="H46" s="585"/>
      <c r="I46" s="745" t="str">
        <f>IF('1. Description'!G72&lt;&gt;0,('1. Description'!G79*'1. Description'!G66+'1. Description'!G80*'1. Description'!G67+'1. Description'!G81*'1. Description'!G68+'1. Description'!G82*'1. Description'!G69+'1. Description'!G83*'1. Description'!G70+'1. Description'!G84*'1. Description'!G71)/'1. Description'!G72,"N/A")</f>
        <v>N/A</v>
      </c>
      <c r="J46" s="587"/>
    </row>
    <row r="47" spans="1:10" ht="12.75">
      <c r="A47" s="584"/>
      <c r="B47" s="585"/>
      <c r="C47" s="585" t="s">
        <v>436</v>
      </c>
      <c r="D47" s="585"/>
      <c r="E47" s="743" t="str">
        <f>IF(SUM('4. Operating'!I40:I45)&lt;&gt;0,SUM('4. Operating'!J40:J45)/(SUM('4. Operating'!I40:I45)*12),"N/A")</f>
        <v>N/A</v>
      </c>
      <c r="F47" s="585"/>
      <c r="G47" s="744" t="str">
        <f>IF('1. Description'!H72&lt;&gt;0,(('1. Description'!H66*numbdr1)+('1. Description'!H67*numbdr2)+('1. Description'!H68*numbdr3)+('1. Description'!H69*numbdr4)+('1. Description'!H70*numbdr5)+('1. Description'!H71*numbdr6))/'1. Description'!H72,"N/A")</f>
        <v>N/A</v>
      </c>
      <c r="H47" s="585"/>
      <c r="I47" s="745" t="str">
        <f>IF('1. Description'!H72&lt;&gt;0,('1. Description'!H79*'1. Description'!H66+'1. Description'!H80*'1. Description'!H67+'1. Description'!H81*'1. Description'!H68+'1. Description'!H82*'1. Description'!H69+'1. Description'!H83*'1. Description'!H70+'1. Description'!H84*'1. Description'!H71)/'1. Description'!H72,"N/A")</f>
        <v>N/A</v>
      </c>
      <c r="J47" s="587"/>
    </row>
    <row r="48" spans="1:10" ht="12.75">
      <c r="A48" s="584"/>
      <c r="B48" s="585"/>
      <c r="C48" s="595" t="s">
        <v>437</v>
      </c>
      <c r="D48" s="585"/>
      <c r="E48" s="743" t="str">
        <f>IF('1. Description'!I72&lt;&gt;0,(E43*'1. Description'!D72+E44*'1. Description'!E72+E45*'1. Description'!F72+E46*'1. Description'!G72+E47*'1. Description'!H72)/'1. Description'!I72,"N/A")</f>
        <v>N/A</v>
      </c>
      <c r="F48" s="585"/>
      <c r="G48" s="744" t="str">
        <f>IF('1. Description'!I72&lt;&gt;0,(('1. Description'!I66*numbdr1)+('1. Description'!I67*numbdr2)+('1. Description'!I68*numbdr3)+('1. Description'!I69*numbdr4)+('1. Description'!I70*numbdr5)+('1. Description'!I71*numbdr6))/'1. Description'!I72,"N/A")</f>
        <v>N/A</v>
      </c>
      <c r="H48" s="585"/>
      <c r="I48" s="745" t="str">
        <f>IF('1. Description'!I72&lt;&gt;0,('1. Description'!I79*'1. Description'!I66+'1. Description'!I80*'1. Description'!I67+'1. Description'!I81*'1. Description'!I68+'1. Description'!I82*'1. Description'!I69+'1. Description'!I83*'1. Description'!I70+'1. Description'!I84*'1. Description'!I71)/'1. Description'!I72,"N/A")</f>
        <v>N/A</v>
      </c>
      <c r="J48" s="587"/>
    </row>
    <row r="49" spans="1:10">
      <c r="A49" s="576"/>
      <c r="B49" s="577"/>
      <c r="C49" s="577"/>
      <c r="D49" s="577"/>
      <c r="E49" s="577"/>
      <c r="F49" s="577"/>
      <c r="G49" s="577"/>
      <c r="H49" s="577"/>
      <c r="I49" s="577"/>
      <c r="J49" s="579"/>
    </row>
    <row r="50" spans="1:10" ht="15.75">
      <c r="A50" s="576"/>
      <c r="B50" s="591" t="s">
        <v>438</v>
      </c>
      <c r="C50" s="241"/>
      <c r="D50" s="241"/>
      <c r="E50" s="241"/>
      <c r="F50" s="591" t="s">
        <v>439</v>
      </c>
      <c r="G50" s="241"/>
      <c r="H50" s="241"/>
      <c r="I50" s="241"/>
      <c r="J50" s="583"/>
    </row>
    <row r="51" spans="1:10" ht="12.75">
      <c r="A51" s="584"/>
      <c r="B51" s="585"/>
      <c r="C51" s="585" t="s">
        <v>440</v>
      </c>
      <c r="D51" s="585"/>
      <c r="E51" s="592">
        <f>SUM('4. Operating'!J8:J13)+SUM('4. Operating'!J16:J21)+SUM('4. Operating'!J24:J29)+SUM('4. Operating'!J32:J37)+SUM('4. Operating'!J40:J45)</f>
        <v>0</v>
      </c>
      <c r="F51" s="585"/>
      <c r="G51" s="585" t="s">
        <v>53</v>
      </c>
      <c r="H51" s="585"/>
      <c r="I51" s="592">
        <f>'4. Operating'!E125+0</f>
        <v>0</v>
      </c>
      <c r="J51" s="587"/>
    </row>
    <row r="52" spans="1:10" ht="12.75">
      <c r="A52" s="584"/>
      <c r="B52" s="585"/>
      <c r="C52" s="585" t="s">
        <v>441</v>
      </c>
      <c r="D52" s="596" t="str">
        <f>IF(E51&lt;&gt;0,+E52/E51,"                            %")</f>
        <v xml:space="preserve">                            %</v>
      </c>
      <c r="E52" s="592">
        <f>SUM('4. Operating'!J8:J13)*'4. Operating'!F67+SUM('4. Operating'!J16:J21)*'4. Operating'!F68+SUM('4. Operating'!J24:J29)*'4. Operating'!F69+SUM('4. Operating'!J32:J37)*'4. Operating'!F70+SUM('4. Operating'!J40:J45)*'4. Operating'!F71</f>
        <v>0</v>
      </c>
      <c r="F52" s="585"/>
      <c r="G52" s="585" t="s">
        <v>442</v>
      </c>
      <c r="H52" s="585"/>
      <c r="I52" s="592">
        <f>'4. Operating'!E139+0</f>
        <v>0</v>
      </c>
      <c r="J52" s="587"/>
    </row>
    <row r="53" spans="1:10" ht="12.75">
      <c r="A53" s="584"/>
      <c r="B53" s="585"/>
      <c r="C53" s="585" t="s">
        <v>443</v>
      </c>
      <c r="D53" s="585"/>
      <c r="E53" s="592">
        <f>('4. Operating'!H48*(1-'4. Operating'!F72))+'4. Operating'!H51+'4. Operating'!F57+SUM('4. Operating'!F59:'4. Operating'!F64)</f>
        <v>0</v>
      </c>
      <c r="F53" s="585"/>
      <c r="G53" s="585" t="s">
        <v>444</v>
      </c>
      <c r="H53" s="585"/>
      <c r="I53" s="592">
        <f>'4. Operating'!E153+0</f>
        <v>0</v>
      </c>
      <c r="J53" s="587"/>
    </row>
    <row r="54" spans="1:10" ht="12.75">
      <c r="A54" s="584"/>
      <c r="B54" s="585"/>
      <c r="C54" s="585" t="s">
        <v>1257</v>
      </c>
      <c r="D54" s="585"/>
      <c r="E54" s="592">
        <f>E51-E52+E53</f>
        <v>0</v>
      </c>
      <c r="F54" s="585"/>
      <c r="G54" s="585" t="s">
        <v>445</v>
      </c>
      <c r="H54" s="585"/>
      <c r="I54" s="592">
        <f>'4. Operating'!E155+'4. Operating'!E159+0</f>
        <v>0</v>
      </c>
      <c r="J54" s="587"/>
    </row>
    <row r="55" spans="1:10" ht="12.75">
      <c r="A55" s="584"/>
      <c r="B55" s="585"/>
      <c r="C55" s="585" t="s">
        <v>446</v>
      </c>
      <c r="D55" s="585"/>
      <c r="E55" s="592">
        <f>'4. Operating'!E97+'4. Operating'!F97</f>
        <v>0</v>
      </c>
      <c r="F55" s="585"/>
      <c r="G55" s="585" t="s">
        <v>447</v>
      </c>
      <c r="H55" s="585"/>
      <c r="I55" s="592">
        <f>'4. Operating'!E165+0</f>
        <v>0</v>
      </c>
      <c r="J55" s="587"/>
    </row>
    <row r="56" spans="1:10" ht="12.75">
      <c r="A56" s="584"/>
      <c r="B56" s="585"/>
      <c r="C56" s="585" t="s">
        <v>448</v>
      </c>
      <c r="D56" s="585"/>
      <c r="E56" s="592">
        <f>'4. Operating'!H97+0</f>
        <v>0</v>
      </c>
      <c r="F56" s="585"/>
      <c r="G56" s="585" t="s">
        <v>449</v>
      </c>
      <c r="H56" s="585"/>
      <c r="I56" s="592">
        <f>'4. Operating'!E167+0</f>
        <v>0</v>
      </c>
      <c r="J56" s="587"/>
    </row>
    <row r="57" spans="1:10" ht="12.75">
      <c r="A57" s="584"/>
      <c r="B57" s="585"/>
      <c r="C57" s="585" t="s">
        <v>450</v>
      </c>
      <c r="D57" s="585"/>
      <c r="E57" s="592">
        <f>E54+E55+E56</f>
        <v>0</v>
      </c>
      <c r="F57" s="585"/>
      <c r="G57" s="585" t="s">
        <v>1451</v>
      </c>
      <c r="H57" s="585"/>
      <c r="I57" s="592">
        <f>'4. Operating'!E169+0</f>
        <v>0</v>
      </c>
      <c r="J57" s="587"/>
    </row>
    <row r="58" spans="1:10" ht="12.75">
      <c r="A58" s="584"/>
      <c r="B58" s="585"/>
      <c r="C58" s="585"/>
      <c r="D58" s="585"/>
      <c r="E58" s="585"/>
      <c r="F58" s="585"/>
      <c r="G58" s="585" t="s">
        <v>451</v>
      </c>
      <c r="H58" s="585"/>
      <c r="I58" s="592">
        <f>'4. Operating'!E176+0</f>
        <v>0</v>
      </c>
      <c r="J58" s="587"/>
    </row>
    <row r="59" spans="1:10" ht="12.75">
      <c r="A59" s="584"/>
      <c r="B59" s="585"/>
      <c r="C59" s="585" t="s">
        <v>452</v>
      </c>
      <c r="D59" s="585"/>
      <c r="E59" s="592">
        <f>E57-I59</f>
        <v>0</v>
      </c>
      <c r="F59" s="585"/>
      <c r="G59" s="585" t="s">
        <v>657</v>
      </c>
      <c r="H59" s="585"/>
      <c r="I59" s="592">
        <f>SUM(I51:I58)</f>
        <v>0</v>
      </c>
      <c r="J59" s="587"/>
    </row>
    <row r="60" spans="1:10" ht="12.75">
      <c r="A60" s="584"/>
      <c r="B60" s="585"/>
      <c r="C60" s="585" t="s">
        <v>453</v>
      </c>
      <c r="D60" s="585"/>
      <c r="E60" s="592">
        <f>'4. Operating'!G203</f>
        <v>0</v>
      </c>
      <c r="F60" s="585"/>
      <c r="G60" s="585"/>
      <c r="H60" s="585"/>
      <c r="I60" s="597"/>
      <c r="J60" s="587"/>
    </row>
    <row r="61" spans="1:10" ht="12.75">
      <c r="A61" s="584"/>
      <c r="B61" s="585"/>
      <c r="C61" s="585" t="s">
        <v>454</v>
      </c>
      <c r="D61" s="585"/>
      <c r="E61" s="734" t="str">
        <f>'4. Operating'!G207</f>
        <v xml:space="preserve">          N/A</v>
      </c>
      <c r="F61" s="585"/>
      <c r="G61" s="585" t="s">
        <v>455</v>
      </c>
      <c r="H61" s="585"/>
      <c r="I61" s="592" t="str">
        <f>IF('1. Description'!I72&lt;&gt;0,'4. Operating'!F178/'1. Description'!I72,"          N/A")</f>
        <v xml:space="preserve">          N/A</v>
      </c>
      <c r="J61" s="587"/>
    </row>
    <row r="62" spans="1:10" ht="12" thickBot="1">
      <c r="A62" s="598"/>
      <c r="B62" s="599"/>
      <c r="C62" s="599"/>
      <c r="D62" s="599"/>
      <c r="E62" s="599"/>
      <c r="F62" s="599"/>
      <c r="G62" s="599"/>
      <c r="H62" s="599"/>
      <c r="I62" s="599"/>
      <c r="J62" s="600"/>
    </row>
    <row r="63" spans="1:10">
      <c r="A63" s="568"/>
      <c r="B63" s="568">
        <f>PROJNAME</f>
        <v>0</v>
      </c>
      <c r="C63" s="568"/>
      <c r="D63" s="568"/>
      <c r="E63" s="568"/>
      <c r="F63" s="568"/>
      <c r="G63" s="827" t="e">
        <f>'1. Description'!$G$59</f>
        <v>#VALUE!</v>
      </c>
      <c r="H63" s="568"/>
      <c r="I63" s="828" t="e">
        <f>'1. Description'!$H$59</f>
        <v>#VALUE!</v>
      </c>
      <c r="J63" s="567"/>
    </row>
    <row r="64" spans="1:10" ht="13.5" thickBot="1">
      <c r="A64" s="359" t="str">
        <f>'2. Dev. Team'!A1</f>
        <v>One Stop2000 Affordable Housing Finance Application [Version 1.21] ©</v>
      </c>
      <c r="B64" s="567"/>
      <c r="C64" s="567"/>
      <c r="D64" s="567"/>
      <c r="E64" s="567"/>
      <c r="F64" s="567"/>
      <c r="G64" s="567"/>
      <c r="H64" s="601" t="s">
        <v>456</v>
      </c>
      <c r="I64" s="601"/>
      <c r="J64" s="601"/>
    </row>
    <row r="65" spans="1:10" ht="26.25" thickBot="1">
      <c r="A65" s="602" t="s">
        <v>457</v>
      </c>
      <c r="B65" s="603"/>
      <c r="C65" s="603"/>
      <c r="D65" s="603"/>
      <c r="E65" s="603"/>
      <c r="F65" s="603"/>
      <c r="G65" s="603"/>
      <c r="H65" s="603"/>
      <c r="I65" s="603"/>
      <c r="J65" s="604"/>
    </row>
    <row r="66" spans="1:10" s="78" customFormat="1" ht="16.5" thickTop="1" thickBot="1">
      <c r="A66" s="605" t="s">
        <v>459</v>
      </c>
      <c r="B66" s="606"/>
      <c r="C66" s="606"/>
      <c r="D66" s="606"/>
      <c r="E66" s="606"/>
      <c r="F66" s="606"/>
      <c r="G66" s="606"/>
      <c r="H66" s="606"/>
      <c r="I66" s="606"/>
      <c r="J66" s="607"/>
    </row>
    <row r="67" spans="1:10" ht="12" thickTop="1">
      <c r="A67" s="608"/>
      <c r="B67" s="609"/>
      <c r="C67" s="609"/>
      <c r="D67" s="609"/>
      <c r="E67" s="609"/>
      <c r="F67" s="609"/>
      <c r="G67" s="609"/>
      <c r="H67" s="609"/>
      <c r="I67" s="609"/>
      <c r="J67" s="610"/>
    </row>
    <row r="68" spans="1:10" ht="12.75">
      <c r="A68" s="584"/>
      <c r="B68" s="585"/>
      <c r="C68" s="585"/>
      <c r="D68" s="611"/>
      <c r="E68" s="612" t="s">
        <v>1388</v>
      </c>
      <c r="F68" s="612" t="s">
        <v>460</v>
      </c>
      <c r="G68" s="612" t="s">
        <v>1390</v>
      </c>
      <c r="H68" s="612" t="s">
        <v>461</v>
      </c>
      <c r="I68" s="612" t="s">
        <v>462</v>
      </c>
      <c r="J68" s="587"/>
    </row>
    <row r="69" spans="1:10" ht="12.75">
      <c r="A69" s="584"/>
      <c r="B69" s="585"/>
      <c r="C69" s="593"/>
      <c r="D69" s="612" t="s">
        <v>662</v>
      </c>
      <c r="E69" s="612" t="s">
        <v>1409</v>
      </c>
      <c r="F69" s="612" t="s">
        <v>463</v>
      </c>
      <c r="G69" s="612" t="s">
        <v>464</v>
      </c>
      <c r="H69" s="612" t="s">
        <v>465</v>
      </c>
      <c r="I69" s="612" t="s">
        <v>466</v>
      </c>
      <c r="J69" s="587"/>
    </row>
    <row r="70" spans="1:10" ht="15.75">
      <c r="A70" s="613" t="s">
        <v>1408</v>
      </c>
      <c r="B70" s="577"/>
      <c r="C70" s="577"/>
      <c r="D70" s="241"/>
      <c r="E70" s="241"/>
      <c r="F70" s="577"/>
      <c r="G70" s="577"/>
      <c r="H70" s="577"/>
      <c r="I70" s="577"/>
      <c r="J70" s="579"/>
    </row>
    <row r="71" spans="1:10" ht="12.75">
      <c r="A71" s="576"/>
      <c r="B71" s="577"/>
      <c r="C71" s="585" t="str">
        <f>bedroom_type1</f>
        <v>SRO</v>
      </c>
      <c r="D71" s="586">
        <f>'4. Operating'!I8+0</f>
        <v>0</v>
      </c>
      <c r="E71" s="592" t="str">
        <f>IF(D71&gt;0,+'4. Operating'!F8+0,"     N/A")</f>
        <v xml:space="preserve">     N/A</v>
      </c>
      <c r="F71" s="724" t="str">
        <f>IF(D71&gt;0,'1. Description'!D79+0,"     N/A")</f>
        <v xml:space="preserve">     N/A</v>
      </c>
      <c r="G71" s="586" t="str">
        <f>IF(D71&gt;0,'1. Description'!D89+0,"     N/A")</f>
        <v xml:space="preserve">     N/A</v>
      </c>
      <c r="H71" s="614" t="str">
        <f>IF(AND(D71&gt;0,'4. Operating'!E227&gt;0),('4. Operating'!H8/VLOOKUP(C71,FMRs,2)),"     N/A")</f>
        <v xml:space="preserve">     N/A</v>
      </c>
      <c r="I71" s="615" t="str">
        <f t="shared" ref="I71:I76" si="0">IF(AND(D71&gt;0,F71&gt;0),E71/F71,"     N/A")</f>
        <v xml:space="preserve">     N/A</v>
      </c>
      <c r="J71" s="579"/>
    </row>
    <row r="72" spans="1:10" ht="12.75">
      <c r="A72" s="576"/>
      <c r="B72" s="577"/>
      <c r="C72" s="585" t="str">
        <f>bedroom_type2</f>
        <v>0 bedroom</v>
      </c>
      <c r="D72" s="586">
        <f>'4. Operating'!I9+0</f>
        <v>0</v>
      </c>
      <c r="E72" s="592" t="str">
        <f>IF(D72&gt;0,+'4. Operating'!F9+0,"     N/A")</f>
        <v xml:space="preserve">     N/A</v>
      </c>
      <c r="F72" s="724" t="str">
        <f>IF(D72&gt;0,'1. Description'!D80+0,"     N/A")</f>
        <v xml:space="preserve">     N/A</v>
      </c>
      <c r="G72" s="586" t="str">
        <f>IF(D72&gt;0,'1. Description'!D90+0,"     N/A")</f>
        <v xml:space="preserve">     N/A</v>
      </c>
      <c r="H72" s="614" t="str">
        <f>IF(AND(D72&gt;0,'4. Operating'!E228&gt;0),('4. Operating'!H9/VLOOKUP(C72,FMRs,2)),"     N/A")</f>
        <v xml:space="preserve">     N/A</v>
      </c>
      <c r="I72" s="615" t="str">
        <f t="shared" si="0"/>
        <v xml:space="preserve">     N/A</v>
      </c>
      <c r="J72" s="579"/>
    </row>
    <row r="73" spans="1:10" ht="12.75">
      <c r="A73" s="576"/>
      <c r="B73" s="577"/>
      <c r="C73" s="585" t="str">
        <f>bedroom_type3</f>
        <v>1 bedroom</v>
      </c>
      <c r="D73" s="586">
        <f>'4. Operating'!I10+0</f>
        <v>0</v>
      </c>
      <c r="E73" s="592" t="str">
        <f>IF(D73&gt;0,+'4. Operating'!F10+0,"     N/A")</f>
        <v xml:space="preserve">     N/A</v>
      </c>
      <c r="F73" s="724" t="str">
        <f>IF(D73&gt;0,'1. Description'!D81+0,"     N/A")</f>
        <v xml:space="preserve">     N/A</v>
      </c>
      <c r="G73" s="586" t="str">
        <f>IF(D73&gt;0,'1. Description'!D91+0,"     N/A")</f>
        <v xml:space="preserve">     N/A</v>
      </c>
      <c r="H73" s="614" t="str">
        <f>IF(AND(D73&gt;0,'4. Operating'!E229&gt;0),('4. Operating'!H10/VLOOKUP(C73,FMRs,2)),"     N/A")</f>
        <v xml:space="preserve">     N/A</v>
      </c>
      <c r="I73" s="615" t="str">
        <f t="shared" si="0"/>
        <v xml:space="preserve">     N/A</v>
      </c>
      <c r="J73" s="579"/>
    </row>
    <row r="74" spans="1:10" ht="12.75">
      <c r="A74" s="576"/>
      <c r="B74" s="577"/>
      <c r="C74" s="585" t="str">
        <f>bedroom_type4</f>
        <v>2 bedrooms</v>
      </c>
      <c r="D74" s="586">
        <f>'4. Operating'!I11+0</f>
        <v>0</v>
      </c>
      <c r="E74" s="592" t="str">
        <f>IF(D74&gt;0,+'4. Operating'!F11+0,"     N/A")</f>
        <v xml:space="preserve">     N/A</v>
      </c>
      <c r="F74" s="724" t="str">
        <f>IF(D74&gt;0,'1. Description'!D82+0,"     N/A")</f>
        <v xml:space="preserve">     N/A</v>
      </c>
      <c r="G74" s="586" t="str">
        <f>IF(D74&gt;0,'1. Description'!D92+0,"     N/A")</f>
        <v xml:space="preserve">     N/A</v>
      </c>
      <c r="H74" s="614" t="str">
        <f>IF(AND(D74&gt;0,'4. Operating'!E230&gt;0),('4. Operating'!H11/VLOOKUP(C74,FMRs,2)),"     N/A")</f>
        <v xml:space="preserve">     N/A</v>
      </c>
      <c r="I74" s="615" t="str">
        <f t="shared" si="0"/>
        <v xml:space="preserve">     N/A</v>
      </c>
      <c r="J74" s="579"/>
    </row>
    <row r="75" spans="1:10" ht="12.75">
      <c r="A75" s="576"/>
      <c r="B75" s="577"/>
      <c r="C75" s="585" t="str">
        <f>bedroom_type5</f>
        <v>3 bedrooms</v>
      </c>
      <c r="D75" s="586">
        <f>'4. Operating'!I12+0</f>
        <v>0</v>
      </c>
      <c r="E75" s="592" t="str">
        <f>IF(D75&gt;0,+'4. Operating'!F12+0,"     N/A")</f>
        <v xml:space="preserve">     N/A</v>
      </c>
      <c r="F75" s="724" t="str">
        <f>IF(D75&gt;0,'1. Description'!D83+0,"     N/A")</f>
        <v xml:space="preserve">     N/A</v>
      </c>
      <c r="G75" s="586" t="str">
        <f>IF(D75&gt;0,'1. Description'!D93+0,"     N/A")</f>
        <v xml:space="preserve">     N/A</v>
      </c>
      <c r="H75" s="614" t="str">
        <f>IF(AND(D75&gt;0,'4. Operating'!E231&gt;0),('4. Operating'!H12/VLOOKUP(C75,FMRs,2)),"     N/A")</f>
        <v xml:space="preserve">     N/A</v>
      </c>
      <c r="I75" s="615" t="str">
        <f t="shared" si="0"/>
        <v xml:space="preserve">     N/A</v>
      </c>
      <c r="J75" s="579"/>
    </row>
    <row r="76" spans="1:10" ht="12.75">
      <c r="A76" s="576"/>
      <c r="B76" s="577"/>
      <c r="C76" s="585" t="str">
        <f>bedroom_type6</f>
        <v>4 bedrooms</v>
      </c>
      <c r="D76" s="586">
        <f>'4. Operating'!I13+0</f>
        <v>0</v>
      </c>
      <c r="E76" s="592" t="str">
        <f>IF(D76&gt;0,+'4. Operating'!F13+0,"     N/A")</f>
        <v xml:space="preserve">     N/A</v>
      </c>
      <c r="F76" s="724" t="str">
        <f>IF(D76&gt;0,'1. Description'!D84+0,"     N/A")</f>
        <v xml:space="preserve">     N/A</v>
      </c>
      <c r="G76" s="586" t="str">
        <f>IF(D76&gt;0,'1. Description'!D94+0,"     N/A")</f>
        <v xml:space="preserve">     N/A</v>
      </c>
      <c r="H76" s="614" t="str">
        <f>IF(AND(D76&gt;0,'4. Operating'!E232&gt;0),('4. Operating'!H13/VLOOKUP(C76,FMRs,2)),"     N/A")</f>
        <v xml:space="preserve">     N/A</v>
      </c>
      <c r="I76" s="615" t="str">
        <f t="shared" si="0"/>
        <v xml:space="preserve">     N/A</v>
      </c>
      <c r="J76" s="579"/>
    </row>
    <row r="77" spans="1:10">
      <c r="A77" s="576"/>
      <c r="B77" s="577"/>
      <c r="C77" s="577"/>
      <c r="D77" s="577"/>
      <c r="E77" s="616"/>
      <c r="F77" s="735"/>
      <c r="G77" s="577"/>
      <c r="H77" s="577"/>
      <c r="I77" s="617"/>
      <c r="J77" s="579"/>
    </row>
    <row r="78" spans="1:10" ht="15.75">
      <c r="A78" s="613" t="s">
        <v>1413</v>
      </c>
      <c r="B78" s="577"/>
      <c r="C78" s="241"/>
      <c r="D78" s="585"/>
      <c r="E78" s="597"/>
      <c r="F78" s="735"/>
      <c r="G78" s="577"/>
      <c r="H78" s="577"/>
      <c r="I78" s="618"/>
      <c r="J78" s="579"/>
    </row>
    <row r="79" spans="1:10" ht="12.75">
      <c r="A79" s="584"/>
      <c r="B79" s="585"/>
      <c r="C79" s="585" t="str">
        <f>bedroom_type1</f>
        <v>SRO</v>
      </c>
      <c r="D79" s="586">
        <f>'4. Operating'!I16+0</f>
        <v>0</v>
      </c>
      <c r="E79" s="592" t="str">
        <f>IF(D79&gt;0,+'4. Operating'!F16+0,"     N/A")</f>
        <v xml:space="preserve">     N/A</v>
      </c>
      <c r="F79" s="724" t="str">
        <f>IF(D79&gt;0,'1. Description'!E79+0,"     N/A")</f>
        <v xml:space="preserve">     N/A</v>
      </c>
      <c r="G79" s="586" t="str">
        <f>IF(D79&gt;0,'1. Description'!E89+0,"     N/A")</f>
        <v xml:space="preserve">     N/A</v>
      </c>
      <c r="H79" s="614" t="str">
        <f>IF(AND(D79&gt;0,'4. Operating'!E218&gt;0),'4. Operating'!H16/('4. Operating'!G218),"     N/A")</f>
        <v xml:space="preserve">     N/A</v>
      </c>
      <c r="I79" s="615" t="str">
        <f t="shared" ref="I79:I84" si="1">IF(AND(D79&gt;0,F79&gt;0),E79/F79,"     N/A")</f>
        <v xml:space="preserve">     N/A</v>
      </c>
      <c r="J79" s="587"/>
    </row>
    <row r="80" spans="1:10" ht="12.75">
      <c r="A80" s="584"/>
      <c r="B80" s="585"/>
      <c r="C80" s="585" t="str">
        <f>bedroom_type2</f>
        <v>0 bedroom</v>
      </c>
      <c r="D80" s="586">
        <f>'4. Operating'!I17+0</f>
        <v>0</v>
      </c>
      <c r="E80" s="592" t="str">
        <f>IF(D80&gt;0,+'4. Operating'!F17+0,"     N/A")</f>
        <v xml:space="preserve">     N/A</v>
      </c>
      <c r="F80" s="724" t="str">
        <f>IF(D80&gt;0,'1. Description'!E80+0,"     N/A")</f>
        <v xml:space="preserve">     N/A</v>
      </c>
      <c r="G80" s="586" t="str">
        <f>IF(D80&gt;0,'1. Description'!E90+0,"     N/A")</f>
        <v xml:space="preserve">     N/A</v>
      </c>
      <c r="H80" s="614" t="str">
        <f>IF(AND(D80&gt;0,'4. Operating'!E219&gt;0),'4. Operating'!H17/('4. Operating'!G219),"     N/A")</f>
        <v xml:space="preserve">     N/A</v>
      </c>
      <c r="I80" s="615" t="str">
        <f t="shared" si="1"/>
        <v xml:space="preserve">     N/A</v>
      </c>
      <c r="J80" s="587"/>
    </row>
    <row r="81" spans="1:10" ht="12.75">
      <c r="A81" s="584"/>
      <c r="B81" s="585"/>
      <c r="C81" s="585" t="str">
        <f>bedroom_type3</f>
        <v>1 bedroom</v>
      </c>
      <c r="D81" s="586">
        <f>'4. Operating'!I18+0</f>
        <v>0</v>
      </c>
      <c r="E81" s="592" t="str">
        <f>IF(D81&gt;0,+'4. Operating'!F18+0,"     N/A")</f>
        <v xml:space="preserve">     N/A</v>
      </c>
      <c r="F81" s="724" t="str">
        <f>IF(D81&gt;0,'1. Description'!E81+0,"     N/A")</f>
        <v xml:space="preserve">     N/A</v>
      </c>
      <c r="G81" s="586" t="str">
        <f>IF(D81&gt;0,'1. Description'!E91+0,"     N/A")</f>
        <v xml:space="preserve">     N/A</v>
      </c>
      <c r="H81" s="614" t="str">
        <f>IF(AND(D81&gt;0,'4. Operating'!E220&gt;0),'4. Operating'!H18/('4. Operating'!G220),"     N/A")</f>
        <v xml:space="preserve">     N/A</v>
      </c>
      <c r="I81" s="615" t="str">
        <f t="shared" si="1"/>
        <v xml:space="preserve">     N/A</v>
      </c>
      <c r="J81" s="587"/>
    </row>
    <row r="82" spans="1:10" ht="12.75">
      <c r="A82" s="584"/>
      <c r="B82" s="585"/>
      <c r="C82" s="585" t="str">
        <f>bedroom_type4</f>
        <v>2 bedrooms</v>
      </c>
      <c r="D82" s="586">
        <f>'4. Operating'!I19+0</f>
        <v>0</v>
      </c>
      <c r="E82" s="592" t="str">
        <f>IF(D82&gt;0,+'4. Operating'!F19+0,"     N/A")</f>
        <v xml:space="preserve">     N/A</v>
      </c>
      <c r="F82" s="724" t="str">
        <f>IF(D82&gt;0,'1. Description'!E82+0,"     N/A")</f>
        <v xml:space="preserve">     N/A</v>
      </c>
      <c r="G82" s="586" t="str">
        <f>IF(D82&gt;0,'1. Description'!E92+0,"     N/A")</f>
        <v xml:space="preserve">     N/A</v>
      </c>
      <c r="H82" s="614" t="str">
        <f>IF(AND(D82&gt;0,'4. Operating'!E221&gt;0),'4. Operating'!H19/('4. Operating'!G221),"     N/A")</f>
        <v xml:space="preserve">     N/A</v>
      </c>
      <c r="I82" s="615" t="str">
        <f t="shared" si="1"/>
        <v xml:space="preserve">     N/A</v>
      </c>
      <c r="J82" s="587"/>
    </row>
    <row r="83" spans="1:10" ht="12.75">
      <c r="A83" s="584"/>
      <c r="B83" s="585"/>
      <c r="C83" s="585" t="str">
        <f>bedroom_type5</f>
        <v>3 bedrooms</v>
      </c>
      <c r="D83" s="586">
        <f>'4. Operating'!I20+0</f>
        <v>0</v>
      </c>
      <c r="E83" s="592" t="str">
        <f>IF(D83&gt;0,+'4. Operating'!F20+0,"     N/A")</f>
        <v xml:space="preserve">     N/A</v>
      </c>
      <c r="F83" s="724" t="str">
        <f>IF(D83&gt;0,'1. Description'!E83+0,"     N/A")</f>
        <v xml:space="preserve">     N/A</v>
      </c>
      <c r="G83" s="586" t="str">
        <f>IF(D83&gt;0,'1. Description'!E93+0,"     N/A")</f>
        <v xml:space="preserve">     N/A</v>
      </c>
      <c r="H83" s="614" t="str">
        <f>IF(AND(D83&gt;0,'4. Operating'!E222&gt;0),'4. Operating'!H20/('4. Operating'!G222),"     N/A")</f>
        <v xml:space="preserve">     N/A</v>
      </c>
      <c r="I83" s="615" t="str">
        <f t="shared" si="1"/>
        <v xml:space="preserve">     N/A</v>
      </c>
      <c r="J83" s="587"/>
    </row>
    <row r="84" spans="1:10" ht="12.75">
      <c r="A84" s="584"/>
      <c r="B84" s="585"/>
      <c r="C84" s="585" t="str">
        <f>bedroom_type6</f>
        <v>4 bedrooms</v>
      </c>
      <c r="D84" s="586">
        <f>'4. Operating'!I21+0</f>
        <v>0</v>
      </c>
      <c r="E84" s="592" t="str">
        <f>IF(D84&gt;0,+'4. Operating'!F21+0,"     N/A")</f>
        <v xml:space="preserve">     N/A</v>
      </c>
      <c r="F84" s="724" t="str">
        <f>IF(D84&gt;0,'1. Description'!E84+0,"     N/A")</f>
        <v xml:space="preserve">     N/A</v>
      </c>
      <c r="G84" s="586" t="str">
        <f>IF(D84&gt;0,'1. Description'!E94+0,"     N/A")</f>
        <v xml:space="preserve">     N/A</v>
      </c>
      <c r="H84" s="614" t="str">
        <f>IF(AND(D84&gt;0,'4. Operating'!E223&gt;0),'4. Operating'!H21/('4. Operating'!G223),"     N/A")</f>
        <v xml:space="preserve">     N/A</v>
      </c>
      <c r="I84" s="615" t="str">
        <f t="shared" si="1"/>
        <v xml:space="preserve">     N/A</v>
      </c>
      <c r="J84" s="587"/>
    </row>
    <row r="85" spans="1:10">
      <c r="A85" s="576"/>
      <c r="B85" s="577"/>
      <c r="C85" s="577"/>
      <c r="D85" s="577"/>
      <c r="E85" s="616"/>
      <c r="F85" s="735"/>
      <c r="G85" s="577"/>
      <c r="H85" s="577"/>
      <c r="I85" s="617"/>
      <c r="J85" s="579"/>
    </row>
    <row r="86" spans="1:10" ht="15.75">
      <c r="A86" s="613" t="s">
        <v>1414</v>
      </c>
      <c r="B86" s="577"/>
      <c r="C86" s="241"/>
      <c r="D86" s="585"/>
      <c r="E86" s="597"/>
      <c r="F86" s="735"/>
      <c r="G86" s="577"/>
      <c r="H86" s="577"/>
      <c r="I86" s="618"/>
      <c r="J86" s="579"/>
    </row>
    <row r="87" spans="1:10" ht="12.75">
      <c r="A87" s="584"/>
      <c r="B87" s="585"/>
      <c r="C87" s="585" t="str">
        <f>bedroom_type1</f>
        <v>SRO</v>
      </c>
      <c r="D87" s="586">
        <f>'4. Operating'!I24+0</f>
        <v>0</v>
      </c>
      <c r="E87" s="592" t="str">
        <f>IF(D87&gt;0,+'4. Operating'!F24+0,"     N/A")</f>
        <v xml:space="preserve">     N/A</v>
      </c>
      <c r="F87" s="724" t="str">
        <f>IF(D87&gt;0,'1. Description'!F79+0,"     N/A")</f>
        <v xml:space="preserve">     N/A</v>
      </c>
      <c r="G87" s="586" t="str">
        <f>IF(D87&gt;0,+'1. Description'!F89+0,"     N/A")</f>
        <v xml:space="preserve">     N/A</v>
      </c>
      <c r="H87" s="614" t="str">
        <f>IF(AND(D87&gt;0,'4. Operating'!H218&gt;0),'4. Operating'!H24/('4. Operating'!H218),"     N/A")</f>
        <v xml:space="preserve">     N/A</v>
      </c>
      <c r="I87" s="615" t="str">
        <f t="shared" ref="I87:I92" si="2">IF(AND(D87&gt;0,F87&gt;0),E87/F87,"     N/A")</f>
        <v xml:space="preserve">     N/A</v>
      </c>
      <c r="J87" s="587"/>
    </row>
    <row r="88" spans="1:10" ht="12.75">
      <c r="A88" s="584"/>
      <c r="B88" s="585"/>
      <c r="C88" s="585" t="str">
        <f>bedroom_type2</f>
        <v>0 bedroom</v>
      </c>
      <c r="D88" s="586">
        <f>'4. Operating'!I25+0</f>
        <v>0</v>
      </c>
      <c r="E88" s="592" t="str">
        <f>IF(D88&gt;0,+'4. Operating'!F25+0,"     N/A")</f>
        <v xml:space="preserve">     N/A</v>
      </c>
      <c r="F88" s="724" t="str">
        <f>IF(D88&gt;0,'1. Description'!F80+0,"     N/A")</f>
        <v xml:space="preserve">     N/A</v>
      </c>
      <c r="G88" s="586" t="str">
        <f>IF(D88&gt;0,+'1. Description'!F90+0,"     N/A")</f>
        <v xml:space="preserve">     N/A</v>
      </c>
      <c r="H88" s="614" t="str">
        <f>IF(AND(D88&gt;0,'4. Operating'!H219&gt;0),'4. Operating'!H25/('4. Operating'!H219),"     N/A")</f>
        <v xml:space="preserve">     N/A</v>
      </c>
      <c r="I88" s="615" t="str">
        <f t="shared" si="2"/>
        <v xml:space="preserve">     N/A</v>
      </c>
      <c r="J88" s="587"/>
    </row>
    <row r="89" spans="1:10" ht="12.75">
      <c r="A89" s="584"/>
      <c r="B89" s="585"/>
      <c r="C89" s="585" t="str">
        <f>bedroom_type3</f>
        <v>1 bedroom</v>
      </c>
      <c r="D89" s="586">
        <f>'4. Operating'!I26+0</f>
        <v>0</v>
      </c>
      <c r="E89" s="592" t="str">
        <f>IF(D89&gt;0,+'4. Operating'!F26+0,"     N/A")</f>
        <v xml:space="preserve">     N/A</v>
      </c>
      <c r="F89" s="724" t="str">
        <f>IF(D89&gt;0,'1. Description'!F81+0,"     N/A")</f>
        <v xml:space="preserve">     N/A</v>
      </c>
      <c r="G89" s="586" t="str">
        <f>IF(D89&gt;0,+'1. Description'!F91+0,"     N/A")</f>
        <v xml:space="preserve">     N/A</v>
      </c>
      <c r="H89" s="614" t="str">
        <f>IF(AND(D89&gt;0,'4. Operating'!H220&gt;0),'4. Operating'!H26/('4. Operating'!H220),"     N/A")</f>
        <v xml:space="preserve">     N/A</v>
      </c>
      <c r="I89" s="615" t="str">
        <f t="shared" si="2"/>
        <v xml:space="preserve">     N/A</v>
      </c>
      <c r="J89" s="587"/>
    </row>
    <row r="90" spans="1:10" ht="12.75">
      <c r="A90" s="584"/>
      <c r="B90" s="585"/>
      <c r="C90" s="585" t="str">
        <f>bedroom_type4</f>
        <v>2 bedrooms</v>
      </c>
      <c r="D90" s="586">
        <f>'4. Operating'!I27+0</f>
        <v>0</v>
      </c>
      <c r="E90" s="592" t="str">
        <f>IF(D90&gt;0,+'4. Operating'!F27+0,"     N/A")</f>
        <v xml:space="preserve">     N/A</v>
      </c>
      <c r="F90" s="724" t="str">
        <f>IF(D90&gt;0,'1. Description'!F82+0,"     N/A")</f>
        <v xml:space="preserve">     N/A</v>
      </c>
      <c r="G90" s="586" t="str">
        <f>IF(D90&gt;0,+'1. Description'!F92+0,"     N/A")</f>
        <v xml:space="preserve">     N/A</v>
      </c>
      <c r="H90" s="614" t="str">
        <f>IF(AND(D90&gt;0,'4. Operating'!H221&gt;0),'4. Operating'!H27/('4. Operating'!H221),"     N/A")</f>
        <v xml:space="preserve">     N/A</v>
      </c>
      <c r="I90" s="615" t="str">
        <f t="shared" si="2"/>
        <v xml:space="preserve">     N/A</v>
      </c>
      <c r="J90" s="587"/>
    </row>
    <row r="91" spans="1:10" ht="12.75">
      <c r="A91" s="584"/>
      <c r="B91" s="585"/>
      <c r="C91" s="585" t="str">
        <f>bedroom_type5</f>
        <v>3 bedrooms</v>
      </c>
      <c r="D91" s="586">
        <f>'4. Operating'!I28+0</f>
        <v>0</v>
      </c>
      <c r="E91" s="592" t="str">
        <f>IF(D91&gt;0,+'4. Operating'!F28+0,"     N/A")</f>
        <v xml:space="preserve">     N/A</v>
      </c>
      <c r="F91" s="724" t="str">
        <f>IF(D91&gt;0,'1. Description'!F83+0,"     N/A")</f>
        <v xml:space="preserve">     N/A</v>
      </c>
      <c r="G91" s="586" t="str">
        <f>IF(D91&gt;0,+'1. Description'!F93+0,"     N/A")</f>
        <v xml:space="preserve">     N/A</v>
      </c>
      <c r="H91" s="614" t="str">
        <f>IF(AND(D91&gt;0,'4. Operating'!H222&gt;0),'4. Operating'!H28/('4. Operating'!H222),"     N/A")</f>
        <v xml:space="preserve">     N/A</v>
      </c>
      <c r="I91" s="615" t="str">
        <f t="shared" si="2"/>
        <v xml:space="preserve">     N/A</v>
      </c>
      <c r="J91" s="587"/>
    </row>
    <row r="92" spans="1:10" ht="12.75">
      <c r="A92" s="584"/>
      <c r="B92" s="585"/>
      <c r="C92" s="585" t="str">
        <f>bedroom_type6</f>
        <v>4 bedrooms</v>
      </c>
      <c r="D92" s="586">
        <f>'4. Operating'!I29+0</f>
        <v>0</v>
      </c>
      <c r="E92" s="592" t="str">
        <f>IF(D92&gt;0,+'4. Operating'!F29+0,"     N/A")</f>
        <v xml:space="preserve">     N/A</v>
      </c>
      <c r="F92" s="724" t="str">
        <f>IF(D92&gt;0,'1. Description'!F84+0,"     N/A")</f>
        <v xml:space="preserve">     N/A</v>
      </c>
      <c r="G92" s="586" t="str">
        <f>IF(D92&gt;0,+'1. Description'!F94+0,"     N/A")</f>
        <v xml:space="preserve">     N/A</v>
      </c>
      <c r="H92" s="614" t="str">
        <f>IF(AND(D92&gt;0,'4. Operating'!H223&gt;0),'4. Operating'!H29/('4. Operating'!H223),"     N/A")</f>
        <v xml:space="preserve">     N/A</v>
      </c>
      <c r="I92" s="615" t="str">
        <f t="shared" si="2"/>
        <v xml:space="preserve">     N/A</v>
      </c>
      <c r="J92" s="587"/>
    </row>
    <row r="93" spans="1:10">
      <c r="A93" s="576"/>
      <c r="B93" s="577"/>
      <c r="C93" s="577"/>
      <c r="D93" s="577"/>
      <c r="E93" s="616"/>
      <c r="F93" s="735"/>
      <c r="G93" s="577"/>
      <c r="H93" s="577"/>
      <c r="I93" s="617"/>
      <c r="J93" s="579"/>
    </row>
    <row r="94" spans="1:10" ht="15.75">
      <c r="A94" s="613" t="str">
        <f>"Other Income " &amp;'1. Description'!$G$65</f>
        <v>Other Income (User-defined)</v>
      </c>
      <c r="B94" s="577"/>
      <c r="C94" s="241"/>
      <c r="E94" s="796"/>
      <c r="F94" s="585" t="str">
        <f>IF('1. Description'!$G$74&gt;0,"Below " &amp; '1. Description'!$G$65 &amp; " of the median income for the region"," ")</f>
        <v xml:space="preserve"> </v>
      </c>
      <c r="G94" s="577"/>
      <c r="H94" s="577"/>
      <c r="I94" s="618"/>
      <c r="J94" s="579"/>
    </row>
    <row r="95" spans="1:10" ht="12.75">
      <c r="A95" s="584"/>
      <c r="B95" s="585"/>
      <c r="C95" s="585" t="str">
        <f>bedroom_type1</f>
        <v>SRO</v>
      </c>
      <c r="D95" s="586">
        <f>'4. Operating'!I32+0</f>
        <v>0</v>
      </c>
      <c r="E95" s="592" t="str">
        <f>IF(D95&gt;0,+'4. Operating'!F32+0,"     N/A")</f>
        <v xml:space="preserve">     N/A</v>
      </c>
      <c r="F95" s="724" t="str">
        <f>IF(D95&gt;0,'1. Description'!G79+0,"     N/A")</f>
        <v xml:space="preserve">     N/A</v>
      </c>
      <c r="G95" s="586" t="str">
        <f>IF(D95&gt;0,+'1. Description'!G89+0,"     N/A")</f>
        <v xml:space="preserve">     N/A</v>
      </c>
      <c r="H95" s="614" t="str">
        <f>IF(AND(D95&gt;0,'4. Operating'!I218&gt;0),'4. Operating'!H32/('4. Operating'!I218),"     N/A")</f>
        <v xml:space="preserve">     N/A</v>
      </c>
      <c r="I95" s="615" t="str">
        <f t="shared" ref="I95:I100" si="3">IF(AND(D95&gt;0,F95&gt;0),E95/F95,"     N/A")</f>
        <v xml:space="preserve">     N/A</v>
      </c>
      <c r="J95" s="587"/>
    </row>
    <row r="96" spans="1:10" ht="12.75">
      <c r="A96" s="584"/>
      <c r="B96" s="585"/>
      <c r="C96" s="585" t="str">
        <f>bedroom_type2</f>
        <v>0 bedroom</v>
      </c>
      <c r="D96" s="586">
        <f>'4. Operating'!I33+0</f>
        <v>0</v>
      </c>
      <c r="E96" s="592" t="str">
        <f>IF(D96&gt;0,+'4. Operating'!F33+0,"     N/A")</f>
        <v xml:space="preserve">     N/A</v>
      </c>
      <c r="F96" s="724" t="str">
        <f>IF(D96&gt;0,'1. Description'!G80+0,"     N/A")</f>
        <v xml:space="preserve">     N/A</v>
      </c>
      <c r="G96" s="586" t="str">
        <f>IF(D96&gt;0,+'1. Description'!G90+0,"     N/A")</f>
        <v xml:space="preserve">     N/A</v>
      </c>
      <c r="H96" s="614" t="str">
        <f>IF(AND(D96&gt;0,'4. Operating'!I219&gt;0),'4. Operating'!H33/('4. Operating'!I219),"     N/A")</f>
        <v xml:space="preserve">     N/A</v>
      </c>
      <c r="I96" s="615" t="str">
        <f t="shared" si="3"/>
        <v xml:space="preserve">     N/A</v>
      </c>
      <c r="J96" s="587"/>
    </row>
    <row r="97" spans="1:10" ht="12.75">
      <c r="A97" s="584"/>
      <c r="B97" s="585"/>
      <c r="C97" s="585" t="str">
        <f>bedroom_type3</f>
        <v>1 bedroom</v>
      </c>
      <c r="D97" s="586">
        <f>'4. Operating'!I34+0</f>
        <v>0</v>
      </c>
      <c r="E97" s="592" t="str">
        <f>IF(D97&gt;0,+'4. Operating'!F34+0,"     N/A")</f>
        <v xml:space="preserve">     N/A</v>
      </c>
      <c r="F97" s="724" t="str">
        <f>IF(D97&gt;0,'1. Description'!G81+0,"     N/A")</f>
        <v xml:space="preserve">     N/A</v>
      </c>
      <c r="G97" s="586" t="str">
        <f>IF(D97&gt;0,+'1. Description'!G91+0,"     N/A")</f>
        <v xml:space="preserve">     N/A</v>
      </c>
      <c r="H97" s="614" t="str">
        <f>IF(AND(D97&gt;0,'4. Operating'!I220&gt;0),'4. Operating'!H34/('4. Operating'!I220),"     N/A")</f>
        <v xml:space="preserve">     N/A</v>
      </c>
      <c r="I97" s="615" t="str">
        <f t="shared" si="3"/>
        <v xml:space="preserve">     N/A</v>
      </c>
      <c r="J97" s="587"/>
    </row>
    <row r="98" spans="1:10" ht="12.75">
      <c r="A98" s="584"/>
      <c r="B98" s="585"/>
      <c r="C98" s="585" t="str">
        <f>bedroom_type4</f>
        <v>2 bedrooms</v>
      </c>
      <c r="D98" s="586">
        <f>'4. Operating'!I35+0</f>
        <v>0</v>
      </c>
      <c r="E98" s="592" t="str">
        <f>IF(D98&gt;0,+'4. Operating'!F35+0,"     N/A")</f>
        <v xml:space="preserve">     N/A</v>
      </c>
      <c r="F98" s="724" t="str">
        <f>IF(D98&gt;0,'1. Description'!G82+0,"     N/A")</f>
        <v xml:space="preserve">     N/A</v>
      </c>
      <c r="G98" s="586" t="str">
        <f>IF(D98&gt;0,+'1. Description'!G92+0,"     N/A")</f>
        <v xml:space="preserve">     N/A</v>
      </c>
      <c r="H98" s="614" t="str">
        <f>IF(AND(D98&gt;0,'4. Operating'!I221&gt;0),'4. Operating'!H35/('4. Operating'!I221),"     N/A")</f>
        <v xml:space="preserve">     N/A</v>
      </c>
      <c r="I98" s="615" t="str">
        <f t="shared" si="3"/>
        <v xml:space="preserve">     N/A</v>
      </c>
      <c r="J98" s="587"/>
    </row>
    <row r="99" spans="1:10" ht="12.75">
      <c r="A99" s="584"/>
      <c r="B99" s="585"/>
      <c r="C99" s="585" t="str">
        <f>bedroom_type5</f>
        <v>3 bedrooms</v>
      </c>
      <c r="D99" s="586">
        <f>'4. Operating'!I36+0</f>
        <v>0</v>
      </c>
      <c r="E99" s="592" t="str">
        <f>IF(D99&gt;0,+'4. Operating'!F36+0,"     N/A")</f>
        <v xml:space="preserve">     N/A</v>
      </c>
      <c r="F99" s="724" t="str">
        <f>IF(D99&gt;0,'1. Description'!G83+0,"     N/A")</f>
        <v xml:space="preserve">     N/A</v>
      </c>
      <c r="G99" s="586" t="str">
        <f>IF(D99&gt;0,+'1. Description'!G93+0,"     N/A")</f>
        <v xml:space="preserve">     N/A</v>
      </c>
      <c r="H99" s="614" t="str">
        <f>IF(AND(D99&gt;0,'4. Operating'!I222&gt;0),'4. Operating'!H36/('4. Operating'!I222),"     N/A")</f>
        <v xml:space="preserve">     N/A</v>
      </c>
      <c r="I99" s="615" t="str">
        <f t="shared" si="3"/>
        <v xml:space="preserve">     N/A</v>
      </c>
      <c r="J99" s="587"/>
    </row>
    <row r="100" spans="1:10" ht="12.75">
      <c r="A100" s="584"/>
      <c r="B100" s="585"/>
      <c r="C100" s="585" t="str">
        <f>bedroom_type6</f>
        <v>4 bedrooms</v>
      </c>
      <c r="D100" s="586">
        <f>'4. Operating'!I37+0</f>
        <v>0</v>
      </c>
      <c r="E100" s="592" t="str">
        <f>IF(D100&gt;0,+'4. Operating'!F37+0,"     N/A")</f>
        <v xml:space="preserve">     N/A</v>
      </c>
      <c r="F100" s="724" t="str">
        <f>IF(D100&gt;0,'1. Description'!G84+0,"     N/A")</f>
        <v xml:space="preserve">     N/A</v>
      </c>
      <c r="G100" s="586" t="str">
        <f>IF(D100&gt;0,+'1. Description'!G94+0,"     N/A")</f>
        <v xml:space="preserve">     N/A</v>
      </c>
      <c r="H100" s="614" t="str">
        <f>IF(AND(D100&gt;0,'4. Operating'!I223&gt;0),'4. Operating'!H37/('4. Operating'!I223),"     N/A")</f>
        <v xml:space="preserve">     N/A</v>
      </c>
      <c r="I100" s="615" t="str">
        <f t="shared" si="3"/>
        <v xml:space="preserve">     N/A</v>
      </c>
      <c r="J100" s="587"/>
    </row>
    <row r="101" spans="1:10">
      <c r="A101" s="576"/>
      <c r="B101" s="577"/>
      <c r="C101" s="577"/>
      <c r="D101" s="577"/>
      <c r="E101" s="616"/>
      <c r="F101" s="735"/>
      <c r="G101" s="577"/>
      <c r="H101" s="619"/>
      <c r="I101" s="617"/>
      <c r="J101" s="579"/>
    </row>
    <row r="102" spans="1:10" ht="15.75">
      <c r="A102" s="613" t="s">
        <v>1415</v>
      </c>
      <c r="B102" s="577"/>
      <c r="C102" s="241"/>
      <c r="D102" s="585"/>
      <c r="E102" s="597"/>
      <c r="F102" s="735"/>
      <c r="G102" s="577"/>
      <c r="H102" s="620"/>
      <c r="I102" s="618"/>
      <c r="J102" s="579"/>
    </row>
    <row r="103" spans="1:10" ht="12.75">
      <c r="A103" s="584"/>
      <c r="B103" s="585"/>
      <c r="C103" s="585" t="str">
        <f>bedroom_type1</f>
        <v>SRO</v>
      </c>
      <c r="D103" s="586">
        <f>'4. Operating'!I40+0</f>
        <v>0</v>
      </c>
      <c r="E103" s="592" t="str">
        <f>IF(D103&gt;0,+'4. Operating'!F40+0,"     N/A")</f>
        <v xml:space="preserve">     N/A</v>
      </c>
      <c r="F103" s="724" t="str">
        <f>IF(D103&gt;0,'1. Description'!H79+0,"     N/A")</f>
        <v xml:space="preserve">     N/A</v>
      </c>
      <c r="G103" s="586" t="str">
        <f>IF(D103&gt;0,+'1. Description'!H89+0,"     N/A")</f>
        <v xml:space="preserve">     N/A</v>
      </c>
      <c r="H103" s="620"/>
      <c r="I103" s="615" t="str">
        <f t="shared" ref="I103:I108" si="4">IF(AND(D103&gt;0,F103&gt;0),E103/F103,"     N/A")</f>
        <v xml:space="preserve">     N/A</v>
      </c>
      <c r="J103" s="587"/>
    </row>
    <row r="104" spans="1:10" ht="12.75">
      <c r="A104" s="584"/>
      <c r="B104" s="585"/>
      <c r="C104" s="585" t="str">
        <f>bedroom_type2</f>
        <v>0 bedroom</v>
      </c>
      <c r="D104" s="586">
        <f>'4. Operating'!I41+0</f>
        <v>0</v>
      </c>
      <c r="E104" s="592" t="str">
        <f>IF(D104&gt;0,+'4. Operating'!F41+0,"     N/A")</f>
        <v xml:space="preserve">     N/A</v>
      </c>
      <c r="F104" s="724" t="str">
        <f>IF(D104&gt;0,'1. Description'!H80+0,"     N/A")</f>
        <v xml:space="preserve">     N/A</v>
      </c>
      <c r="G104" s="586" t="str">
        <f>IF(D104&gt;0,+'1. Description'!H90+0,"     N/A")</f>
        <v xml:space="preserve">     N/A</v>
      </c>
      <c r="H104" s="620"/>
      <c r="I104" s="615" t="str">
        <f t="shared" si="4"/>
        <v xml:space="preserve">     N/A</v>
      </c>
      <c r="J104" s="587"/>
    </row>
    <row r="105" spans="1:10" ht="12.75">
      <c r="A105" s="584"/>
      <c r="B105" s="585"/>
      <c r="C105" s="585" t="str">
        <f>bedroom_type3</f>
        <v>1 bedroom</v>
      </c>
      <c r="D105" s="586">
        <f>'4. Operating'!I42+0</f>
        <v>0</v>
      </c>
      <c r="E105" s="592" t="str">
        <f>IF(D105&gt;0,+'4. Operating'!F42+0,"     N/A")</f>
        <v xml:space="preserve">     N/A</v>
      </c>
      <c r="F105" s="724" t="str">
        <f>IF(D105&gt;0,'1. Description'!H81+0,"     N/A")</f>
        <v xml:space="preserve">     N/A</v>
      </c>
      <c r="G105" s="586" t="str">
        <f>IF(D105&gt;0,+'1. Description'!H91+0,"     N/A")</f>
        <v xml:space="preserve">     N/A</v>
      </c>
      <c r="H105" s="620"/>
      <c r="I105" s="615" t="str">
        <f t="shared" si="4"/>
        <v xml:space="preserve">     N/A</v>
      </c>
      <c r="J105" s="587"/>
    </row>
    <row r="106" spans="1:10" ht="12.75">
      <c r="A106" s="584"/>
      <c r="B106" s="585"/>
      <c r="C106" s="585" t="str">
        <f>bedroom_type4</f>
        <v>2 bedrooms</v>
      </c>
      <c r="D106" s="586">
        <f>'4. Operating'!I43+0</f>
        <v>0</v>
      </c>
      <c r="E106" s="592" t="str">
        <f>IF(D106&gt;0,+'4. Operating'!F43+0,"     N/A")</f>
        <v xml:space="preserve">     N/A</v>
      </c>
      <c r="F106" s="724" t="str">
        <f>IF(D106&gt;0,'1. Description'!H82+0,"     N/A")</f>
        <v xml:space="preserve">     N/A</v>
      </c>
      <c r="G106" s="586" t="str">
        <f>IF(D106&gt;0,+'1. Description'!H92+0,"     N/A")</f>
        <v xml:space="preserve">     N/A</v>
      </c>
      <c r="H106" s="620"/>
      <c r="I106" s="615" t="str">
        <f t="shared" si="4"/>
        <v xml:space="preserve">     N/A</v>
      </c>
      <c r="J106" s="587"/>
    </row>
    <row r="107" spans="1:10" ht="12.75">
      <c r="A107" s="584"/>
      <c r="B107" s="585"/>
      <c r="C107" s="585" t="str">
        <f>bedroom_type5</f>
        <v>3 bedrooms</v>
      </c>
      <c r="D107" s="586">
        <f>'4. Operating'!I44+0</f>
        <v>0</v>
      </c>
      <c r="E107" s="592" t="str">
        <f>IF(D107&gt;0,+'4. Operating'!F44+0,"     N/A")</f>
        <v xml:space="preserve">     N/A</v>
      </c>
      <c r="F107" s="724" t="str">
        <f>IF(D107&gt;0,'1. Description'!H83+0,"     N/A")</f>
        <v xml:space="preserve">     N/A</v>
      </c>
      <c r="G107" s="586" t="str">
        <f>IF(D107&gt;0,+'1. Description'!H93+0,"     N/A")</f>
        <v xml:space="preserve">     N/A</v>
      </c>
      <c r="H107" s="620"/>
      <c r="I107" s="615" t="str">
        <f t="shared" si="4"/>
        <v xml:space="preserve">     N/A</v>
      </c>
      <c r="J107" s="587"/>
    </row>
    <row r="108" spans="1:10" ht="12.75">
      <c r="A108" s="584"/>
      <c r="B108" s="585"/>
      <c r="C108" s="585" t="str">
        <f>bedroom_type6</f>
        <v>4 bedrooms</v>
      </c>
      <c r="D108" s="586">
        <f>'4. Operating'!I45+0</f>
        <v>0</v>
      </c>
      <c r="E108" s="592" t="str">
        <f>IF(D108&gt;0,+'4. Operating'!F45+0,"     N/A")</f>
        <v xml:space="preserve">     N/A</v>
      </c>
      <c r="F108" s="724" t="str">
        <f>IF(D108&gt;0,'1. Description'!H84+0,"     N/A")</f>
        <v xml:space="preserve">     N/A</v>
      </c>
      <c r="G108" s="586" t="str">
        <f>IF(D108&gt;0,+'1. Description'!H94+0,"     N/A")</f>
        <v xml:space="preserve">     N/A</v>
      </c>
      <c r="H108" s="620"/>
      <c r="I108" s="615" t="str">
        <f t="shared" si="4"/>
        <v xml:space="preserve">     N/A</v>
      </c>
      <c r="J108" s="587"/>
    </row>
    <row r="109" spans="1:10">
      <c r="A109" s="576"/>
      <c r="B109" s="577"/>
      <c r="C109" s="577"/>
      <c r="D109" s="577"/>
      <c r="E109" s="577"/>
      <c r="F109" s="577"/>
      <c r="G109" s="577"/>
      <c r="H109" s="577"/>
      <c r="I109" s="577"/>
      <c r="J109" s="579"/>
    </row>
    <row r="110" spans="1:10">
      <c r="A110" s="576"/>
      <c r="B110" s="577"/>
      <c r="C110" s="577"/>
      <c r="D110" s="577"/>
      <c r="E110" s="577"/>
      <c r="F110" s="577"/>
      <c r="G110" s="577"/>
      <c r="H110" s="577"/>
      <c r="I110" s="577"/>
      <c r="J110" s="579"/>
    </row>
    <row r="111" spans="1:10">
      <c r="A111" s="576"/>
      <c r="B111" s="577"/>
      <c r="C111" s="577"/>
      <c r="D111" s="577"/>
      <c r="E111" s="577"/>
      <c r="F111" s="577"/>
      <c r="G111" s="577"/>
      <c r="H111" s="577"/>
      <c r="I111" s="577"/>
      <c r="J111" s="579"/>
    </row>
    <row r="112" spans="1:10">
      <c r="A112" s="576"/>
      <c r="B112" s="577"/>
      <c r="C112" s="577"/>
      <c r="D112" s="577"/>
      <c r="E112" s="577"/>
      <c r="F112" s="577"/>
      <c r="G112" s="577"/>
      <c r="H112" s="577"/>
      <c r="I112" s="577"/>
      <c r="J112" s="579"/>
    </row>
    <row r="113" spans="1:10">
      <c r="A113" s="576"/>
      <c r="B113" s="577"/>
      <c r="C113" s="577"/>
      <c r="D113" s="577"/>
      <c r="E113" s="577"/>
      <c r="F113" s="577"/>
      <c r="G113" s="577"/>
      <c r="H113" s="577"/>
      <c r="I113" s="577"/>
      <c r="J113" s="579"/>
    </row>
    <row r="114" spans="1:10">
      <c r="A114" s="576"/>
      <c r="B114" s="577"/>
      <c r="C114" s="577"/>
      <c r="D114" s="577"/>
      <c r="E114" s="577"/>
      <c r="F114" s="577"/>
      <c r="G114" s="577"/>
      <c r="H114" s="577"/>
      <c r="I114" s="577"/>
      <c r="J114" s="579"/>
    </row>
    <row r="115" spans="1:10">
      <c r="A115" s="576"/>
      <c r="B115" s="577"/>
      <c r="C115" s="577"/>
      <c r="D115" s="577"/>
      <c r="E115" s="577"/>
      <c r="F115" s="577"/>
      <c r="G115" s="577"/>
      <c r="H115" s="577"/>
      <c r="I115" s="577"/>
      <c r="J115" s="579"/>
    </row>
    <row r="116" spans="1:10">
      <c r="A116" s="576"/>
      <c r="B116" s="577"/>
      <c r="C116" s="577"/>
      <c r="D116" s="577"/>
      <c r="E116" s="577"/>
      <c r="F116" s="577"/>
      <c r="G116" s="577"/>
      <c r="H116" s="577"/>
      <c r="I116" s="577"/>
      <c r="J116" s="579"/>
    </row>
    <row r="117" spans="1:10">
      <c r="A117" s="576"/>
      <c r="B117" s="577"/>
      <c r="C117" s="577"/>
      <c r="D117" s="577"/>
      <c r="E117" s="577"/>
      <c r="F117" s="577"/>
      <c r="G117" s="577"/>
      <c r="H117" s="577"/>
      <c r="I117" s="577"/>
      <c r="J117" s="579"/>
    </row>
    <row r="118" spans="1:10">
      <c r="A118" s="576"/>
      <c r="B118" s="577"/>
      <c r="C118" s="577"/>
      <c r="D118" s="577"/>
      <c r="E118" s="577"/>
      <c r="F118" s="577"/>
      <c r="G118" s="577"/>
      <c r="H118" s="577"/>
      <c r="I118" s="577"/>
      <c r="J118" s="579"/>
    </row>
    <row r="119" spans="1:10">
      <c r="A119" s="576"/>
      <c r="B119" s="577"/>
      <c r="C119" s="577"/>
      <c r="D119" s="577"/>
      <c r="E119" s="577"/>
      <c r="F119" s="577"/>
      <c r="G119" s="577"/>
      <c r="H119" s="577"/>
      <c r="I119" s="577"/>
      <c r="J119" s="579"/>
    </row>
    <row r="120" spans="1:10">
      <c r="A120" s="576"/>
      <c r="B120" s="577"/>
      <c r="C120" s="577"/>
      <c r="D120" s="577"/>
      <c r="E120" s="577"/>
      <c r="F120" s="577"/>
      <c r="G120" s="577"/>
      <c r="H120" s="577"/>
      <c r="I120" s="577"/>
      <c r="J120" s="579"/>
    </row>
    <row r="121" spans="1:10">
      <c r="A121" s="576"/>
      <c r="B121" s="577"/>
      <c r="C121" s="577"/>
      <c r="D121" s="577"/>
      <c r="E121" s="577"/>
      <c r="F121" s="577"/>
      <c r="G121" s="577"/>
      <c r="H121" s="577"/>
      <c r="I121" s="577"/>
      <c r="J121" s="579"/>
    </row>
    <row r="122" spans="1:10">
      <c r="A122" s="576"/>
      <c r="B122" s="577"/>
      <c r="C122" s="577"/>
      <c r="D122" s="577"/>
      <c r="E122" s="577"/>
      <c r="F122" s="577"/>
      <c r="G122" s="577"/>
      <c r="H122" s="577"/>
      <c r="I122" s="577"/>
      <c r="J122" s="579"/>
    </row>
    <row r="123" spans="1:10">
      <c r="A123" s="576"/>
      <c r="B123" s="577"/>
      <c r="C123" s="577"/>
      <c r="D123" s="577"/>
      <c r="E123" s="577"/>
      <c r="F123" s="577"/>
      <c r="G123" s="577"/>
      <c r="H123" s="577"/>
      <c r="I123" s="577"/>
      <c r="J123" s="579"/>
    </row>
    <row r="124" spans="1:10" ht="12" thickBot="1">
      <c r="A124" s="598"/>
      <c r="B124" s="599"/>
      <c r="C124" s="599"/>
      <c r="D124" s="599"/>
      <c r="E124" s="599"/>
      <c r="F124" s="599"/>
      <c r="G124" s="599"/>
      <c r="H124" s="599"/>
      <c r="I124" s="599"/>
      <c r="J124" s="600"/>
    </row>
    <row r="125" spans="1:10">
      <c r="A125" s="568"/>
      <c r="B125" s="568">
        <f>PROJNAME</f>
        <v>0</v>
      </c>
      <c r="C125" s="568"/>
      <c r="D125" s="568"/>
      <c r="E125" s="568"/>
      <c r="F125" s="568"/>
      <c r="G125" s="827" t="e">
        <f>'1. Description'!$G$59</f>
        <v>#VALUE!</v>
      </c>
      <c r="H125" s="568"/>
      <c r="I125" s="828" t="e">
        <f>'1. Description'!$H$59</f>
        <v>#VALUE!</v>
      </c>
      <c r="J125" s="567"/>
    </row>
    <row r="126" spans="1:10" ht="13.5" thickBot="1">
      <c r="A126" s="369" t="str">
        <f>'2. Dev. Team'!A1</f>
        <v>One Stop2000 Affordable Housing Finance Application [Version 1.21] ©</v>
      </c>
      <c r="B126" s="567"/>
      <c r="C126" s="567"/>
      <c r="D126" s="567"/>
      <c r="E126" s="567"/>
      <c r="F126" s="567"/>
      <c r="G126" s="567"/>
      <c r="H126" s="601" t="s">
        <v>474</v>
      </c>
      <c r="I126" s="601"/>
      <c r="J126" s="601"/>
    </row>
    <row r="127" spans="1:10" ht="26.25" thickBot="1">
      <c r="A127" s="602" t="s">
        <v>475</v>
      </c>
      <c r="B127" s="603"/>
      <c r="C127" s="603"/>
      <c r="D127" s="603"/>
      <c r="E127" s="603"/>
      <c r="F127" s="603"/>
      <c r="G127" s="603"/>
      <c r="H127" s="603"/>
      <c r="I127" s="603"/>
      <c r="J127" s="604"/>
    </row>
    <row r="128" spans="1:10" s="78" customFormat="1" ht="16.5" thickTop="1" thickBot="1">
      <c r="A128" s="605" t="s">
        <v>459</v>
      </c>
      <c r="B128" s="606"/>
      <c r="C128" s="606"/>
      <c r="D128" s="606"/>
      <c r="E128" s="606"/>
      <c r="F128" s="606"/>
      <c r="G128" s="606"/>
      <c r="H128" s="606"/>
      <c r="I128" s="606"/>
      <c r="J128" s="607"/>
    </row>
    <row r="129" spans="1:10" ht="12" thickTop="1">
      <c r="A129" s="608"/>
      <c r="B129" s="609"/>
      <c r="C129" s="609"/>
      <c r="D129" s="609"/>
      <c r="E129" s="609"/>
      <c r="F129" s="609"/>
      <c r="G129" s="609"/>
      <c r="H129" s="609"/>
      <c r="I129" s="609"/>
      <c r="J129" s="610"/>
    </row>
    <row r="130" spans="1:10" ht="12.75">
      <c r="A130" s="621"/>
      <c r="B130" s="595"/>
      <c r="C130" s="595"/>
      <c r="D130" s="622"/>
      <c r="E130" s="612" t="s">
        <v>1452</v>
      </c>
      <c r="F130" s="612" t="s">
        <v>1437</v>
      </c>
      <c r="G130" s="612" t="s">
        <v>1438</v>
      </c>
      <c r="H130" s="612" t="s">
        <v>1453</v>
      </c>
      <c r="I130" s="612" t="s">
        <v>25</v>
      </c>
      <c r="J130" s="587"/>
    </row>
    <row r="131" spans="1:10" ht="12.75">
      <c r="A131" s="623"/>
      <c r="B131" s="622"/>
      <c r="C131" s="622"/>
      <c r="D131" s="595" t="s">
        <v>476</v>
      </c>
      <c r="E131" s="819" t="str">
        <f>IF(sustained_occupancy&lt;&gt;"",TEXT(sustained_occupancy,"yyyy"),"N/A")</f>
        <v>N/A</v>
      </c>
      <c r="F131" s="612" t="str">
        <f>IF($E$131&lt;&gt;"N/A",VALUE($E$131)+1,"             N/A ")</f>
        <v xml:space="preserve">             N/A </v>
      </c>
      <c r="G131" s="612" t="str">
        <f>IF($E$131&lt;&gt;"N/A",VALUE($E$131)+2,"             N/A ")</f>
        <v xml:space="preserve">             N/A </v>
      </c>
      <c r="H131" s="612" t="str">
        <f>IF($E$131&lt;&gt;"N/A",VALUE($E$131)+3,"             N/A ")</f>
        <v xml:space="preserve">             N/A </v>
      </c>
      <c r="I131" s="612" t="str">
        <f>IF($E$131&lt;&gt;"N/A",VALUE($E$131)+4,"             N/A ")</f>
        <v xml:space="preserve">             N/A </v>
      </c>
      <c r="J131" s="587"/>
    </row>
    <row r="132" spans="1:10" ht="12.75">
      <c r="A132" s="576"/>
      <c r="B132" s="593" t="s">
        <v>477</v>
      </c>
      <c r="C132" s="577"/>
      <c r="D132" s="585"/>
      <c r="E132" s="585"/>
      <c r="F132" s="585"/>
      <c r="G132" s="585"/>
      <c r="H132" s="585"/>
      <c r="I132" s="585"/>
      <c r="J132" s="587"/>
    </row>
    <row r="133" spans="1:10" ht="12.75">
      <c r="A133" s="576"/>
      <c r="B133" s="577"/>
      <c r="C133" s="585" t="s">
        <v>478</v>
      </c>
      <c r="D133" s="585"/>
      <c r="E133" s="592">
        <f>SUM('4. Operating'!J8:J13)</f>
        <v>0</v>
      </c>
      <c r="F133" s="592">
        <f>E133*(1+'4. Operating'!$F$75)</f>
        <v>0</v>
      </c>
      <c r="G133" s="592">
        <f>F133*(1+'4. Operating'!$G$75)</f>
        <v>0</v>
      </c>
      <c r="H133" s="592">
        <f>G133*(1+'4. Operating'!$H$75)</f>
        <v>0</v>
      </c>
      <c r="I133" s="592">
        <f>H133*(1+'4. Operating'!$H$75)</f>
        <v>0</v>
      </c>
      <c r="J133" s="587"/>
    </row>
    <row r="134" spans="1:10" ht="12.75">
      <c r="A134" s="576"/>
      <c r="B134" s="577"/>
      <c r="C134" s="585" t="s">
        <v>479</v>
      </c>
      <c r="D134" s="585"/>
      <c r="E134" s="624">
        <f>SUM('4. Operating'!J16:J21)</f>
        <v>0</v>
      </c>
      <c r="F134" s="624">
        <f>E134*(1+'4. Operating'!$F$76)</f>
        <v>0</v>
      </c>
      <c r="G134" s="624">
        <f>F134*(1+'4. Operating'!$G$76)</f>
        <v>0</v>
      </c>
      <c r="H134" s="624">
        <f>G134*(1+'4. Operating'!$H$76)</f>
        <v>0</v>
      </c>
      <c r="I134" s="624">
        <f>H134*(1+'4. Operating'!$H$76)</f>
        <v>0</v>
      </c>
      <c r="J134" s="587"/>
    </row>
    <row r="135" spans="1:10" ht="12.75">
      <c r="A135" s="576"/>
      <c r="B135" s="577"/>
      <c r="C135" s="585" t="s">
        <v>480</v>
      </c>
      <c r="D135" s="585"/>
      <c r="E135" s="624">
        <f>SUM('4. Operating'!J24:J29)</f>
        <v>0</v>
      </c>
      <c r="F135" s="624">
        <f>E135*(1+'4. Operating'!$F$77)</f>
        <v>0</v>
      </c>
      <c r="G135" s="624">
        <f>F135*(1+'4. Operating'!$G$77)</f>
        <v>0</v>
      </c>
      <c r="H135" s="624">
        <f>G135*(1+'4. Operating'!$H$77)</f>
        <v>0</v>
      </c>
      <c r="I135" s="624">
        <f>H135*(1+'4. Operating'!$H$77)</f>
        <v>0</v>
      </c>
      <c r="J135" s="587"/>
    </row>
    <row r="136" spans="1:10" ht="12.75">
      <c r="A136" s="576"/>
      <c r="B136" s="577"/>
      <c r="C136" s="585" t="str">
        <f>"Other Income " &amp;'1. Description'!$G$65</f>
        <v>Other Income (User-defined)</v>
      </c>
      <c r="D136" s="585"/>
      <c r="E136" s="624">
        <f>SUM('4. Operating'!J32:J37)</f>
        <v>0</v>
      </c>
      <c r="F136" s="624">
        <f>E136*(1+'4. Operating'!$F$78)</f>
        <v>0</v>
      </c>
      <c r="G136" s="624">
        <f>F136*(1+'4. Operating'!$G$78)</f>
        <v>0</v>
      </c>
      <c r="H136" s="624">
        <f>G136*(1+'4. Operating'!$H$78)</f>
        <v>0</v>
      </c>
      <c r="I136" s="624">
        <f>H136*(1+'4. Operating'!$H$78)</f>
        <v>0</v>
      </c>
      <c r="J136" s="587"/>
    </row>
    <row r="137" spans="1:10" ht="13.5" thickBot="1">
      <c r="A137" s="576"/>
      <c r="B137" s="577"/>
      <c r="C137" s="585" t="s">
        <v>1434</v>
      </c>
      <c r="D137" s="585"/>
      <c r="E137" s="625">
        <f>SUM('4. Operating'!J40:J45)</f>
        <v>0</v>
      </c>
      <c r="F137" s="625">
        <f>E137*(1+'4. Operating'!$F$79)</f>
        <v>0</v>
      </c>
      <c r="G137" s="625">
        <f>F137*(1+'4. Operating'!$G$79)</f>
        <v>0</v>
      </c>
      <c r="H137" s="625">
        <f>G137*(1+'4. Operating'!$H$79)</f>
        <v>0</v>
      </c>
      <c r="I137" s="625">
        <f>H137*(1+'4. Operating'!$H$79)</f>
        <v>0</v>
      </c>
      <c r="J137" s="587"/>
    </row>
    <row r="138" spans="1:10" ht="13.5" thickTop="1">
      <c r="A138" s="576"/>
      <c r="B138" s="577"/>
      <c r="C138" s="595" t="s">
        <v>481</v>
      </c>
      <c r="D138" s="585"/>
      <c r="E138" s="624">
        <f>SUM(E133:E137)</f>
        <v>0</v>
      </c>
      <c r="F138" s="624">
        <f>SUM(F133:F137)</f>
        <v>0</v>
      </c>
      <c r="G138" s="624">
        <f>SUM(G133:G137)</f>
        <v>0</v>
      </c>
      <c r="H138" s="624">
        <f>SUM(H133:H137)</f>
        <v>0</v>
      </c>
      <c r="I138" s="624">
        <f>SUM(I133:I137)</f>
        <v>0</v>
      </c>
      <c r="J138" s="587"/>
    </row>
    <row r="139" spans="1:10" ht="13.5" thickBot="1">
      <c r="A139" s="576"/>
      <c r="B139" s="577"/>
      <c r="C139" s="585" t="s">
        <v>482</v>
      </c>
      <c r="D139" s="585"/>
      <c r="E139" s="624">
        <f>E52</f>
        <v>0</v>
      </c>
      <c r="F139" s="624">
        <f>IF($E$138&gt;0,($E$139/$E$138)*F138,0)</f>
        <v>0</v>
      </c>
      <c r="G139" s="624">
        <f>IF($E$138&gt;0,($E$139/$E$138)*G138,0)</f>
        <v>0</v>
      </c>
      <c r="H139" s="624">
        <f>IF($E$138&gt;0,($E$139/$E$138)*H138,0)</f>
        <v>0</v>
      </c>
      <c r="I139" s="624">
        <f>IF($E$138&gt;0,($E$139/$E$138)*I138,0)</f>
        <v>0</v>
      </c>
      <c r="J139" s="587"/>
    </row>
    <row r="140" spans="1:10" ht="13.5" thickTop="1">
      <c r="A140" s="576"/>
      <c r="B140" s="577"/>
      <c r="C140" s="595" t="s">
        <v>483</v>
      </c>
      <c r="D140" s="585"/>
      <c r="E140" s="626">
        <f>E138-E139</f>
        <v>0</v>
      </c>
      <c r="F140" s="626">
        <f>F138-F139</f>
        <v>0</v>
      </c>
      <c r="G140" s="626">
        <f>G138-G139</f>
        <v>0</v>
      </c>
      <c r="H140" s="626">
        <f>H138-H139</f>
        <v>0</v>
      </c>
      <c r="I140" s="626">
        <f>I138-I139</f>
        <v>0</v>
      </c>
      <c r="J140" s="587"/>
    </row>
    <row r="141" spans="1:10" ht="12.75">
      <c r="A141" s="576"/>
      <c r="B141" s="577"/>
      <c r="C141" s="585" t="s">
        <v>146</v>
      </c>
      <c r="D141" s="585"/>
      <c r="E141" s="624">
        <f>'4. Operating'!H51+'4. Operating'!H48</f>
        <v>0</v>
      </c>
      <c r="F141" s="624">
        <f>E141*(1+'4. Operating'!$F$80)</f>
        <v>0</v>
      </c>
      <c r="G141" s="624">
        <f>F141*(1+'4. Operating'!$G$80)</f>
        <v>0</v>
      </c>
      <c r="H141" s="624">
        <f>G141*(1+'4. Operating'!$H$80)</f>
        <v>0</v>
      </c>
      <c r="I141" s="624">
        <f>H141*(1+'4. Operating'!$H$80)</f>
        <v>0</v>
      </c>
      <c r="J141" s="587"/>
    </row>
    <row r="142" spans="1:10" ht="12.75">
      <c r="A142" s="576"/>
      <c r="B142" s="577"/>
      <c r="C142" s="585" t="s">
        <v>482</v>
      </c>
      <c r="D142" s="585"/>
      <c r="E142" s="624">
        <f>E141*'4. Operating'!$F$72</f>
        <v>0</v>
      </c>
      <c r="F142" s="624">
        <f>F141*'4. Operating'!$F$72</f>
        <v>0</v>
      </c>
      <c r="G142" s="624">
        <f>G141*'4. Operating'!$F$72</f>
        <v>0</v>
      </c>
      <c r="H142" s="624">
        <f>H141*'4. Operating'!$F$72</f>
        <v>0</v>
      </c>
      <c r="I142" s="624">
        <f>I141*'4. Operating'!$F$72</f>
        <v>0</v>
      </c>
      <c r="J142" s="587"/>
    </row>
    <row r="143" spans="1:10" ht="13.5" thickBot="1">
      <c r="A143" s="576"/>
      <c r="B143" s="577"/>
      <c r="C143" s="585" t="s">
        <v>484</v>
      </c>
      <c r="D143" s="585"/>
      <c r="E143" s="624">
        <f>E141-E142</f>
        <v>0</v>
      </c>
      <c r="F143" s="624">
        <f>F141-F142</f>
        <v>0</v>
      </c>
      <c r="G143" s="624">
        <f>G141-G142</f>
        <v>0</v>
      </c>
      <c r="H143" s="624">
        <f>H141-H142</f>
        <v>0</v>
      </c>
      <c r="I143" s="624">
        <f>I141-I142</f>
        <v>0</v>
      </c>
      <c r="J143" s="587"/>
    </row>
    <row r="144" spans="1:10" ht="13.5" thickTop="1">
      <c r="A144" s="576"/>
      <c r="B144" s="577"/>
      <c r="C144" s="595" t="s">
        <v>485</v>
      </c>
      <c r="D144" s="585"/>
      <c r="E144" s="626">
        <f>E140+E143</f>
        <v>0</v>
      </c>
      <c r="F144" s="626">
        <f>F140+F143</f>
        <v>0</v>
      </c>
      <c r="G144" s="626">
        <f>G140+G143</f>
        <v>0</v>
      </c>
      <c r="H144" s="626">
        <f>H140+H143</f>
        <v>0</v>
      </c>
      <c r="I144" s="626">
        <f>I140+I143</f>
        <v>0</v>
      </c>
      <c r="J144" s="587"/>
    </row>
    <row r="145" spans="1:10" ht="12.75">
      <c r="A145" s="576"/>
      <c r="B145" s="577"/>
      <c r="C145" s="585" t="s">
        <v>147</v>
      </c>
      <c r="D145" s="585"/>
      <c r="E145" s="624">
        <f>SUM('4. Operating'!F57)</f>
        <v>0</v>
      </c>
      <c r="F145" s="624">
        <f>E145*(1+'4. Operating'!$F81)</f>
        <v>0</v>
      </c>
      <c r="G145" s="624">
        <f>F145*(1+'4. Operating'!$G81)</f>
        <v>0</v>
      </c>
      <c r="H145" s="624">
        <f>G145*(1+'4. Operating'!$H81)</f>
        <v>0</v>
      </c>
      <c r="I145" s="624">
        <f>H145*(1+'4. Operating'!$H81)</f>
        <v>0</v>
      </c>
      <c r="J145" s="587"/>
    </row>
    <row r="146" spans="1:10" ht="12.75">
      <c r="A146" s="576"/>
      <c r="B146" s="577"/>
      <c r="C146" s="585" t="s">
        <v>1061</v>
      </c>
      <c r="D146" s="585">
        <f>'4. Operating'!D59</f>
        <v>0</v>
      </c>
      <c r="E146" s="624">
        <f>SUM('4. Operating'!F59)</f>
        <v>0</v>
      </c>
      <c r="F146" s="624">
        <f>E146*(1+'4. Operating'!$F82)</f>
        <v>0</v>
      </c>
      <c r="G146" s="624">
        <f>F146*(1+'4. Operating'!$G82)</f>
        <v>0</v>
      </c>
      <c r="H146" s="624">
        <f>G146*(1+'4. Operating'!$H82)</f>
        <v>0</v>
      </c>
      <c r="I146" s="624">
        <f>H146*(1+'4. Operating'!$H82)</f>
        <v>0</v>
      </c>
      <c r="J146" s="587"/>
    </row>
    <row r="147" spans="1:10" ht="12.75">
      <c r="A147" s="576"/>
      <c r="B147" s="577"/>
      <c r="C147" s="585" t="s">
        <v>1061</v>
      </c>
      <c r="D147" s="585">
        <f>'4. Operating'!D60</f>
        <v>0</v>
      </c>
      <c r="E147" s="624">
        <f>SUM('4. Operating'!F60)</f>
        <v>0</v>
      </c>
      <c r="F147" s="624">
        <f>E147*(1+'4. Operating'!$F83)</f>
        <v>0</v>
      </c>
      <c r="G147" s="624">
        <f>F147*(1+'4. Operating'!$G83)</f>
        <v>0</v>
      </c>
      <c r="H147" s="624">
        <f>G147*(1+'4. Operating'!$H83)</f>
        <v>0</v>
      </c>
      <c r="I147" s="624">
        <f>H147*(1+'4. Operating'!$H83)</f>
        <v>0</v>
      </c>
      <c r="J147" s="587"/>
    </row>
    <row r="148" spans="1:10" ht="12.75">
      <c r="A148" s="576"/>
      <c r="B148" s="577"/>
      <c r="C148" s="585" t="s">
        <v>1061</v>
      </c>
      <c r="D148" s="585">
        <f>'4. Operating'!D61</f>
        <v>0</v>
      </c>
      <c r="E148" s="624">
        <f>SUM('4. Operating'!F61)</f>
        <v>0</v>
      </c>
      <c r="F148" s="624">
        <f>E148*(1+'4. Operating'!$F84)</f>
        <v>0</v>
      </c>
      <c r="G148" s="624">
        <f>F148*(1+'4. Operating'!$G84)</f>
        <v>0</v>
      </c>
      <c r="H148" s="624">
        <f>G148*(1+'4. Operating'!$H84)</f>
        <v>0</v>
      </c>
      <c r="I148" s="624">
        <f>H148*(1+'4. Operating'!$H84)</f>
        <v>0</v>
      </c>
      <c r="J148" s="587"/>
    </row>
    <row r="149" spans="1:10" ht="12.75">
      <c r="A149" s="576"/>
      <c r="B149" s="577"/>
      <c r="C149" s="585" t="s">
        <v>1061</v>
      </c>
      <c r="D149" s="585">
        <f>'4. Operating'!D62</f>
        <v>0</v>
      </c>
      <c r="E149" s="624">
        <f>SUM('4. Operating'!F62)</f>
        <v>0</v>
      </c>
      <c r="F149" s="624">
        <f>E149*(1+'4. Operating'!$F85)</f>
        <v>0</v>
      </c>
      <c r="G149" s="624">
        <f>F149*(1+'4. Operating'!$G85)</f>
        <v>0</v>
      </c>
      <c r="H149" s="624">
        <f>G149*(1+'4. Operating'!$H85)</f>
        <v>0</v>
      </c>
      <c r="I149" s="624">
        <f>H149*(1+'4. Operating'!$H85)</f>
        <v>0</v>
      </c>
      <c r="J149" s="587"/>
    </row>
    <row r="150" spans="1:10" ht="12.75">
      <c r="A150" s="576"/>
      <c r="B150" s="577"/>
      <c r="C150" s="585" t="s">
        <v>1061</v>
      </c>
      <c r="D150" s="585">
        <f>'4. Operating'!D63</f>
        <v>0</v>
      </c>
      <c r="E150" s="624">
        <f>SUM('4. Operating'!F63)</f>
        <v>0</v>
      </c>
      <c r="F150" s="624">
        <f>E150*(1+'4. Operating'!$F86)</f>
        <v>0</v>
      </c>
      <c r="G150" s="624">
        <f>F150*(1+'4. Operating'!$G86)</f>
        <v>0</v>
      </c>
      <c r="H150" s="624">
        <f>G150*(1+'4. Operating'!$H86)</f>
        <v>0</v>
      </c>
      <c r="I150" s="624">
        <f>H150*(1+'4. Operating'!$H86)</f>
        <v>0</v>
      </c>
      <c r="J150" s="587"/>
    </row>
    <row r="151" spans="1:10" ht="13.5" thickBot="1">
      <c r="A151" s="576"/>
      <c r="B151" s="577"/>
      <c r="C151" s="585" t="s">
        <v>1061</v>
      </c>
      <c r="D151" s="585">
        <f>'4. Operating'!D64</f>
        <v>0</v>
      </c>
      <c r="E151" s="624">
        <f>SUM('4. Operating'!F64)</f>
        <v>0</v>
      </c>
      <c r="F151" s="624">
        <f>E151*(1+'4. Operating'!$F87)</f>
        <v>0</v>
      </c>
      <c r="G151" s="624">
        <f>F151*(1+'4. Operating'!$G87)</f>
        <v>0</v>
      </c>
      <c r="H151" s="624">
        <f>G151*(1+'4. Operating'!$H87)</f>
        <v>0</v>
      </c>
      <c r="I151" s="624">
        <f>H151*(1+'4. Operating'!$H87)</f>
        <v>0</v>
      </c>
      <c r="J151" s="587"/>
    </row>
    <row r="152" spans="1:10" ht="13.5" thickTop="1">
      <c r="A152" s="576"/>
      <c r="B152" s="577"/>
      <c r="C152" s="595" t="s">
        <v>486</v>
      </c>
      <c r="D152" s="585"/>
      <c r="E152" s="626">
        <f>SUM(E144:E151)</f>
        <v>0</v>
      </c>
      <c r="F152" s="626">
        <f>SUM(F144:F151)</f>
        <v>0</v>
      </c>
      <c r="G152" s="626">
        <f>SUM(G144:G151)</f>
        <v>0</v>
      </c>
      <c r="H152" s="626">
        <f>SUM(H144:H151)</f>
        <v>0</v>
      </c>
      <c r="I152" s="626">
        <f>SUM(I144:I151)</f>
        <v>0</v>
      </c>
      <c r="J152" s="587"/>
    </row>
    <row r="153" spans="1:10" ht="12.75">
      <c r="A153" s="576"/>
      <c r="B153" s="577"/>
      <c r="C153" s="585" t="s">
        <v>446</v>
      </c>
      <c r="D153" s="585"/>
      <c r="E153" s="624">
        <f>'4. Operating'!$E97+'4. Operating'!$F97</f>
        <v>0</v>
      </c>
      <c r="F153" s="624">
        <f>'4. Operating'!$E98+'4. Operating'!$F98</f>
        <v>0</v>
      </c>
      <c r="G153" s="624">
        <f>'4. Operating'!$E99+'4. Operating'!$F99</f>
        <v>0</v>
      </c>
      <c r="H153" s="624">
        <f>'4. Operating'!$E100+'4. Operating'!$F100</f>
        <v>0</v>
      </c>
      <c r="I153" s="624">
        <f>'4. Operating'!$E101+'4. Operating'!$F101</f>
        <v>0</v>
      </c>
      <c r="J153" s="587"/>
    </row>
    <row r="154" spans="1:10" ht="13.5" thickBot="1">
      <c r="A154" s="576"/>
      <c r="B154" s="577"/>
      <c r="C154" s="585" t="s">
        <v>448</v>
      </c>
      <c r="D154" s="585"/>
      <c r="E154" s="624">
        <f>'4. Operating'!$H97+0</f>
        <v>0</v>
      </c>
      <c r="F154" s="624">
        <f>'4. Operating'!$H98+0</f>
        <v>0</v>
      </c>
      <c r="G154" s="624">
        <f>'4. Operating'!$H99+0</f>
        <v>0</v>
      </c>
      <c r="H154" s="624">
        <f>'4. Operating'!$H100+0</f>
        <v>0</v>
      </c>
      <c r="I154" s="624">
        <f>'4. Operating'!$H101+0</f>
        <v>0</v>
      </c>
      <c r="J154" s="587"/>
    </row>
    <row r="155" spans="1:10" ht="13.5" thickTop="1">
      <c r="A155" s="576"/>
      <c r="B155" s="577"/>
      <c r="C155" s="595" t="s">
        <v>487</v>
      </c>
      <c r="D155" s="585"/>
      <c r="E155" s="627">
        <f>E152+E153+E154+0.00000001</f>
        <v>1E-8</v>
      </c>
      <c r="F155" s="627">
        <f>F152+F153+F154</f>
        <v>0</v>
      </c>
      <c r="G155" s="627">
        <f>G152+G153+G154</f>
        <v>0</v>
      </c>
      <c r="H155" s="627">
        <f>H152+H153+H154</f>
        <v>0</v>
      </c>
      <c r="I155" s="627">
        <f>I152+I153+I154</f>
        <v>0</v>
      </c>
      <c r="J155" s="579"/>
    </row>
    <row r="156" spans="1:10">
      <c r="A156" s="576"/>
      <c r="B156" s="577"/>
      <c r="C156" s="577"/>
      <c r="D156" s="577"/>
      <c r="E156" s="616"/>
      <c r="F156" s="616"/>
      <c r="G156" s="616"/>
      <c r="H156" s="616"/>
      <c r="I156" s="616"/>
      <c r="J156" s="579"/>
    </row>
    <row r="157" spans="1:10" ht="12.75">
      <c r="A157" s="576"/>
      <c r="B157" s="593" t="s">
        <v>488</v>
      </c>
      <c r="C157" s="577"/>
      <c r="D157" s="585"/>
      <c r="E157" s="597"/>
      <c r="F157" s="597"/>
      <c r="G157" s="597"/>
      <c r="H157" s="597"/>
      <c r="I157" s="597"/>
      <c r="J157" s="587"/>
    </row>
    <row r="158" spans="1:10" ht="12.75">
      <c r="A158" s="576"/>
      <c r="B158" s="577"/>
      <c r="C158" s="585" t="s">
        <v>53</v>
      </c>
      <c r="D158" s="585"/>
      <c r="E158" s="624">
        <f>'4. Operating'!E125+0</f>
        <v>0</v>
      </c>
      <c r="F158" s="624">
        <f>($E$158/$E$155)*F155</f>
        <v>0</v>
      </c>
      <c r="G158" s="624">
        <f>($E$158/$E$155)*G155</f>
        <v>0</v>
      </c>
      <c r="H158" s="624">
        <f>($E$158/$E$155)*H155</f>
        <v>0</v>
      </c>
      <c r="I158" s="624">
        <f>($E$158/$E$155)*I155</f>
        <v>0</v>
      </c>
      <c r="J158" s="587"/>
    </row>
    <row r="159" spans="1:10" ht="12.75">
      <c r="A159" s="576"/>
      <c r="B159" s="577"/>
      <c r="C159" s="585" t="s">
        <v>442</v>
      </c>
      <c r="D159" s="585"/>
      <c r="E159" s="624">
        <f>'4. Operating'!E139</f>
        <v>0</v>
      </c>
      <c r="F159" s="624">
        <f>E159*(1+'4. Operating'!$F$186)</f>
        <v>0</v>
      </c>
      <c r="G159" s="624">
        <f>F159*(1+'4. Operating'!$G$186)</f>
        <v>0</v>
      </c>
      <c r="H159" s="624">
        <f>G159*(1+'4. Operating'!$H$186)</f>
        <v>0</v>
      </c>
      <c r="I159" s="624">
        <f>H159*(1+'4. Operating'!$H$186)</f>
        <v>0</v>
      </c>
      <c r="J159" s="587"/>
    </row>
    <row r="160" spans="1:10" ht="12.75">
      <c r="A160" s="576"/>
      <c r="B160" s="577"/>
      <c r="C160" s="585" t="s">
        <v>444</v>
      </c>
      <c r="D160" s="585"/>
      <c r="E160" s="624">
        <f>'4. Operating'!E153</f>
        <v>0</v>
      </c>
      <c r="F160" s="624">
        <f>E160*(1+'4. Operating'!$F$186)</f>
        <v>0</v>
      </c>
      <c r="G160" s="624">
        <f>F160*(1+'4. Operating'!$G$186)</f>
        <v>0</v>
      </c>
      <c r="H160" s="624">
        <f>G160*(1+'4. Operating'!$H$186)</f>
        <v>0</v>
      </c>
      <c r="I160" s="624">
        <f>H160*(1+'4. Operating'!$H$186)</f>
        <v>0</v>
      </c>
      <c r="J160" s="587"/>
    </row>
    <row r="161" spans="1:12" ht="12.75">
      <c r="A161" s="576"/>
      <c r="B161" s="577"/>
      <c r="C161" s="585" t="s">
        <v>76</v>
      </c>
      <c r="D161" s="585"/>
      <c r="E161" s="624">
        <f>'4. Operating'!E155+0</f>
        <v>0</v>
      </c>
      <c r="F161" s="624">
        <f>E161*(1+'4. Operating'!$F$186)</f>
        <v>0</v>
      </c>
      <c r="G161" s="624">
        <f>F161*(1+'4. Operating'!$G$186)</f>
        <v>0</v>
      </c>
      <c r="H161" s="624">
        <f>G161*(1+'4. Operating'!$H$186)</f>
        <v>0</v>
      </c>
      <c r="I161" s="624">
        <f>H161*(1+'4. Operating'!$H$186)</f>
        <v>0</v>
      </c>
      <c r="J161" s="587"/>
    </row>
    <row r="162" spans="1:12" ht="12.75">
      <c r="A162" s="576"/>
      <c r="B162" s="577"/>
      <c r="C162" s="585" t="s">
        <v>1294</v>
      </c>
      <c r="D162" s="585"/>
      <c r="E162" s="624">
        <f>'4. Operating'!E159+0</f>
        <v>0</v>
      </c>
      <c r="F162" s="624">
        <f>E162*(1+'4. Operating'!$F$186)</f>
        <v>0</v>
      </c>
      <c r="G162" s="624">
        <f>F162*(1+'4. Operating'!$G$186)</f>
        <v>0</v>
      </c>
      <c r="H162" s="624">
        <f>G162*(1+'4. Operating'!$H$186)</f>
        <v>0</v>
      </c>
      <c r="I162" s="624">
        <f>H162*(1+'4. Operating'!$H$186)</f>
        <v>0</v>
      </c>
      <c r="J162" s="587"/>
    </row>
    <row r="163" spans="1:12" ht="12.75">
      <c r="A163" s="576"/>
      <c r="B163" s="577"/>
      <c r="C163" s="585" t="s">
        <v>1244</v>
      </c>
      <c r="D163" s="585"/>
      <c r="E163" s="624">
        <f>'4. Operating'!E161+0</f>
        <v>0</v>
      </c>
      <c r="F163" s="624">
        <f>E163*(1+'4. Operating'!$F$186)</f>
        <v>0</v>
      </c>
      <c r="G163" s="624">
        <f>F163*(1+'4. Operating'!$G$186)</f>
        <v>0</v>
      </c>
      <c r="H163" s="624">
        <f>G163*(1+'4. Operating'!$H$186)</f>
        <v>0</v>
      </c>
      <c r="I163" s="624">
        <f>H163*(1+'4. Operating'!$H$186)</f>
        <v>0</v>
      </c>
      <c r="J163" s="587"/>
    </row>
    <row r="164" spans="1:12" ht="12.75">
      <c r="A164" s="576"/>
      <c r="B164" s="577"/>
      <c r="C164" s="585" t="s">
        <v>78</v>
      </c>
      <c r="D164" s="585"/>
      <c r="E164" s="624">
        <f>'4. Operating'!E162+0</f>
        <v>0</v>
      </c>
      <c r="F164" s="624">
        <f>E164*(1+'4. Operating'!$F$186)</f>
        <v>0</v>
      </c>
      <c r="G164" s="624">
        <f>F164*(1+'4. Operating'!$G$186)</f>
        <v>0</v>
      </c>
      <c r="H164" s="624">
        <f>G164*(1+'4. Operating'!$H$186)</f>
        <v>0</v>
      </c>
      <c r="I164" s="624">
        <f>H164*(1+'4. Operating'!$H$186)</f>
        <v>0</v>
      </c>
      <c r="J164" s="587"/>
    </row>
    <row r="165" spans="1:12" ht="12.75">
      <c r="A165" s="576"/>
      <c r="B165" s="577"/>
      <c r="C165" s="585" t="s">
        <v>489</v>
      </c>
      <c r="D165" s="585"/>
      <c r="E165" s="624">
        <f>'4. Operating'!E163+0</f>
        <v>0</v>
      </c>
      <c r="F165" s="624">
        <f>E165*(1+'4. Operating'!$F$186)</f>
        <v>0</v>
      </c>
      <c r="G165" s="624">
        <f>F165*(1+'4. Operating'!$G$186)</f>
        <v>0</v>
      </c>
      <c r="H165" s="624">
        <f>G165*(1+'4. Operating'!$H$186)</f>
        <v>0</v>
      </c>
      <c r="I165" s="624">
        <f>H165*(1+'4. Operating'!$H$186)</f>
        <v>0</v>
      </c>
      <c r="J165" s="587"/>
    </row>
    <row r="166" spans="1:12" ht="12.75">
      <c r="A166" s="576"/>
      <c r="B166" s="577"/>
      <c r="C166" s="585" t="s">
        <v>79</v>
      </c>
      <c r="D166" s="585"/>
      <c r="E166" s="624">
        <f>'4. Operating'!E164+0</f>
        <v>0</v>
      </c>
      <c r="F166" s="624">
        <f>E166*(1+'4. Operating'!$F$184)</f>
        <v>0</v>
      </c>
      <c r="G166" s="624">
        <f>F166*(1+'4. Operating'!$G$184)</f>
        <v>0</v>
      </c>
      <c r="H166" s="624">
        <f>G166*(1+'4. Operating'!$H$184)</f>
        <v>0</v>
      </c>
      <c r="I166" s="624">
        <f>H166*(1+'4. Operating'!$H$184)</f>
        <v>0</v>
      </c>
      <c r="J166" s="587"/>
    </row>
    <row r="167" spans="1:12" ht="12.75">
      <c r="A167" s="576"/>
      <c r="B167" s="577"/>
      <c r="C167" s="585" t="s">
        <v>81</v>
      </c>
      <c r="D167" s="585"/>
      <c r="E167" s="624">
        <f>'4. Operating'!E167+0</f>
        <v>0</v>
      </c>
      <c r="F167" s="624">
        <f>E167*(1+'4. Operating'!$F$186)</f>
        <v>0</v>
      </c>
      <c r="G167" s="624">
        <f>F167*(1+'4. Operating'!$G$186)</f>
        <v>0</v>
      </c>
      <c r="H167" s="624">
        <f>G167*(1+'4. Operating'!$H$186)</f>
        <v>0</v>
      </c>
      <c r="I167" s="624">
        <f>H167*(1+'4. Operating'!$H$186)</f>
        <v>0</v>
      </c>
      <c r="J167" s="587"/>
    </row>
    <row r="168" spans="1:12" ht="12.75">
      <c r="A168" s="576"/>
      <c r="B168" s="577"/>
      <c r="C168" s="585" t="s">
        <v>82</v>
      </c>
      <c r="D168" s="585"/>
      <c r="E168" s="624">
        <f>'4. Operating'!E169+0</f>
        <v>0</v>
      </c>
      <c r="F168" s="624">
        <f>E168*(1+'4. Operating'!$F$186)</f>
        <v>0</v>
      </c>
      <c r="G168" s="624">
        <f>F168*(1+'4. Operating'!$G$186)</f>
        <v>0</v>
      </c>
      <c r="H168" s="624">
        <f>G168*(1+'4. Operating'!$H$186)</f>
        <v>0</v>
      </c>
      <c r="I168" s="624">
        <f>H168*(1+'4. Operating'!$H$186)</f>
        <v>0</v>
      </c>
      <c r="J168" s="587"/>
    </row>
    <row r="169" spans="1:12" ht="12.75">
      <c r="A169" s="576"/>
      <c r="B169" s="577"/>
      <c r="C169" s="585" t="s">
        <v>1290</v>
      </c>
      <c r="D169" s="585"/>
      <c r="E169" s="624">
        <f>'4. Operating'!E171+0</f>
        <v>0</v>
      </c>
      <c r="F169" s="624">
        <f>E169*(1+'4. Operating'!$F$185)</f>
        <v>0</v>
      </c>
      <c r="G169" s="624">
        <f>F169*(1+'4. Operating'!$G$185)</f>
        <v>0</v>
      </c>
      <c r="H169" s="624">
        <f>G169*(1+'4. Operating'!$H$185)</f>
        <v>0</v>
      </c>
      <c r="I169" s="624">
        <f>H169*(1+'4. Operating'!$H$185)</f>
        <v>0</v>
      </c>
      <c r="J169" s="587"/>
    </row>
    <row r="170" spans="1:12" ht="12.75">
      <c r="A170" s="576"/>
      <c r="B170" s="577"/>
      <c r="C170" s="585" t="s">
        <v>83</v>
      </c>
      <c r="D170" s="585"/>
      <c r="E170" s="624">
        <f>'4. Operating'!E172+0</f>
        <v>0</v>
      </c>
      <c r="F170" s="624">
        <f>E170*(1+'4. Operating'!$F$186)</f>
        <v>0</v>
      </c>
      <c r="G170" s="624">
        <f>F170*(1+'4. Operating'!$G$186)</f>
        <v>0</v>
      </c>
      <c r="H170" s="624">
        <f>G170*(1+'4. Operating'!$H$186)</f>
        <v>0</v>
      </c>
      <c r="I170" s="624">
        <f>H170*(1+'4. Operating'!$H$186)</f>
        <v>0</v>
      </c>
      <c r="J170" s="587"/>
    </row>
    <row r="171" spans="1:12" ht="12.75">
      <c r="A171" s="576"/>
      <c r="B171" s="577"/>
      <c r="C171" s="585" t="s">
        <v>1291</v>
      </c>
      <c r="D171" s="585"/>
      <c r="E171" s="624">
        <f>'4. Operating'!E173+0</f>
        <v>0</v>
      </c>
      <c r="F171" s="624">
        <f>E171*(1+'4. Operating'!$F$186)</f>
        <v>0</v>
      </c>
      <c r="G171" s="624">
        <f>F171*(1+'4. Operating'!$G$186)</f>
        <v>0</v>
      </c>
      <c r="H171" s="624">
        <f>G171*(1+'4. Operating'!$H$186)</f>
        <v>0</v>
      </c>
      <c r="I171" s="624">
        <f>H171*(1+'4. Operating'!$H$186)</f>
        <v>0</v>
      </c>
      <c r="J171" s="587"/>
    </row>
    <row r="172" spans="1:12" ht="12.75">
      <c r="A172" s="576"/>
      <c r="B172" s="577"/>
      <c r="C172" s="585" t="str">
        <f>'4. Operating'!C174</f>
        <v>MIP</v>
      </c>
      <c r="D172" s="585"/>
      <c r="E172" s="624">
        <f>'4. Operating'!E174</f>
        <v>0</v>
      </c>
      <c r="F172" s="624">
        <f>'3. Sources Uses'!V19+'3. Sources Uses'!AH19+'3. Sources Uses'!AT19+'3. Sources Uses'!BG19+'3. Sources Uses'!BT19</f>
        <v>0</v>
      </c>
      <c r="G172" s="624">
        <f>'3. Sources Uses'!V20+'3. Sources Uses'!AH20+'3. Sources Uses'!AT20+'3. Sources Uses'!BG20+'3. Sources Uses'!BT20</f>
        <v>0</v>
      </c>
      <c r="H172" s="624">
        <f>'3. Sources Uses'!V21+'3. Sources Uses'!AH21+'3. Sources Uses'!AT21+'3. Sources Uses'!BG21+'3. Sources Uses'!BT21</f>
        <v>0</v>
      </c>
      <c r="I172" s="624">
        <f>'3. Sources Uses'!V22+'3. Sources Uses'!AH22+'3. Sources Uses'!AT22+'3. Sources Uses'!BG22+'3. Sources Uses'!BT22</f>
        <v>0</v>
      </c>
      <c r="J172" s="587"/>
    </row>
    <row r="173" spans="1:12" ht="13.5" thickBot="1">
      <c r="A173" s="576"/>
      <c r="B173" s="577"/>
      <c r="C173" s="585" t="str">
        <f>'4. Operating'!C175:D175</f>
        <v>Other:</v>
      </c>
      <c r="D173" s="585"/>
      <c r="E173" s="624">
        <f>'4. Operating'!E175+0</f>
        <v>0</v>
      </c>
      <c r="F173" s="624">
        <f>E173*(1+'4. Operating'!$F$186)</f>
        <v>0</v>
      </c>
      <c r="G173" s="624">
        <f>F173*(1+'4. Operating'!$G$186)</f>
        <v>0</v>
      </c>
      <c r="H173" s="624">
        <f>G173*(1+'4. Operating'!$H$186)</f>
        <v>0</v>
      </c>
      <c r="I173" s="624">
        <f>H173*(1+'4. Operating'!$H$186)</f>
        <v>0</v>
      </c>
      <c r="J173" s="587"/>
      <c r="L173" s="419"/>
    </row>
    <row r="174" spans="1:12" ht="13.5" thickTop="1">
      <c r="A174" s="576"/>
      <c r="B174" s="577"/>
      <c r="C174" s="595" t="s">
        <v>490</v>
      </c>
      <c r="D174" s="585"/>
      <c r="E174" s="627">
        <f>SUM(E158:E173)</f>
        <v>0</v>
      </c>
      <c r="F174" s="627">
        <f>SUM(F158:F173)</f>
        <v>0</v>
      </c>
      <c r="G174" s="627">
        <f>SUM(G158:G173)</f>
        <v>0</v>
      </c>
      <c r="H174" s="627">
        <f>SUM(H158:H173)</f>
        <v>0</v>
      </c>
      <c r="I174" s="627">
        <f>SUM(I158:I173)</f>
        <v>0</v>
      </c>
      <c r="J174" s="579"/>
    </row>
    <row r="175" spans="1:12">
      <c r="A175" s="576"/>
      <c r="B175" s="577"/>
      <c r="C175" s="577"/>
      <c r="D175" s="577"/>
      <c r="E175" s="616"/>
      <c r="F175" s="616"/>
      <c r="G175" s="616"/>
      <c r="H175" s="616"/>
      <c r="I175" s="616"/>
      <c r="J175" s="579"/>
    </row>
    <row r="176" spans="1:12" ht="12.75">
      <c r="A176" s="576"/>
      <c r="B176" s="593" t="s">
        <v>491</v>
      </c>
      <c r="C176" s="577"/>
      <c r="D176" s="585"/>
      <c r="E176" s="592">
        <f>E155-E174</f>
        <v>1E-8</v>
      </c>
      <c r="F176" s="592">
        <f>F155-F174</f>
        <v>0</v>
      </c>
      <c r="G176" s="592">
        <f>G155-G174</f>
        <v>0</v>
      </c>
      <c r="H176" s="592">
        <f>H155-H174</f>
        <v>0</v>
      </c>
      <c r="I176" s="592">
        <f>I155-I174</f>
        <v>0</v>
      </c>
      <c r="J176" s="587"/>
    </row>
    <row r="177" spans="1:13">
      <c r="A177" s="576"/>
      <c r="B177" s="577"/>
      <c r="C177" s="577"/>
      <c r="D177" s="577"/>
      <c r="E177" s="616"/>
      <c r="F177" s="616"/>
      <c r="G177" s="616"/>
      <c r="H177" s="616"/>
      <c r="I177" s="616"/>
      <c r="J177" s="579"/>
    </row>
    <row r="178" spans="1:13" ht="12.75">
      <c r="A178" s="576"/>
      <c r="B178" s="577"/>
      <c r="C178" s="585" t="s">
        <v>453</v>
      </c>
      <c r="D178" s="585"/>
      <c r="E178" s="592">
        <f>'3. Sources Uses'!W18+'3. Sources Uses'!AI18+'3. Sources Uses'!AU18+'3. Sources Uses'!BH18+'3. Sources Uses'!BU18</f>
        <v>0</v>
      </c>
      <c r="F178" s="592">
        <f>'3. Sources Uses'!W$19+'3. Sources Uses'!AI19+'3. Sources Uses'!AU19+'3. Sources Uses'!BH19+'3. Sources Uses'!BU19</f>
        <v>0</v>
      </c>
      <c r="G178" s="592">
        <f>'3. Sources Uses'!W20+'3. Sources Uses'!AI20+'3. Sources Uses'!AU20+'3. Sources Uses'!BH20+'3. Sources Uses'!BU20</f>
        <v>0</v>
      </c>
      <c r="H178" s="592">
        <f>'3. Sources Uses'!W21+'3. Sources Uses'!AI21+'3. Sources Uses'!AU21+'3. Sources Uses'!BH21+'3. Sources Uses'!BU21</f>
        <v>0</v>
      </c>
      <c r="I178" s="592">
        <f>'3. Sources Uses'!W22+'3. Sources Uses'!AI22+'3. Sources Uses'!AU22+'3. Sources Uses'!BH22+'3. Sources Uses'!BU22</f>
        <v>0</v>
      </c>
      <c r="J178" s="587"/>
    </row>
    <row r="179" spans="1:13" ht="12.75">
      <c r="A179" s="576"/>
      <c r="B179" s="577"/>
      <c r="C179" s="595" t="s">
        <v>454</v>
      </c>
      <c r="D179" s="585"/>
      <c r="E179" s="628" t="str">
        <f>IF(E178&gt;0,E176/E178,"               N/A")</f>
        <v xml:space="preserve">               N/A</v>
      </c>
      <c r="F179" s="628" t="str">
        <f>IF(F178&gt;0,F176/F178,"               N/A")</f>
        <v xml:space="preserve">               N/A</v>
      </c>
      <c r="G179" s="628" t="str">
        <f>IF(G178&gt;0,G176/G178,"               N/A")</f>
        <v xml:space="preserve">               N/A</v>
      </c>
      <c r="H179" s="628" t="str">
        <f>IF(H178&gt;0,H176/H178,"               N/A")</f>
        <v xml:space="preserve">               N/A</v>
      </c>
      <c r="I179" s="628" t="str">
        <f>IF(I178&gt;0,I176/I178,"               N/A")</f>
        <v xml:space="preserve">               N/A</v>
      </c>
      <c r="J179" s="587"/>
    </row>
    <row r="180" spans="1:13" ht="12.75">
      <c r="A180" s="576"/>
      <c r="B180" s="577"/>
      <c r="C180" s="585" t="s">
        <v>492</v>
      </c>
      <c r="D180" s="585"/>
      <c r="E180" s="592">
        <f>E176-E178</f>
        <v>1E-8</v>
      </c>
      <c r="F180" s="592">
        <f>F176-F178</f>
        <v>0</v>
      </c>
      <c r="G180" s="592">
        <f>G176-G178</f>
        <v>0</v>
      </c>
      <c r="H180" s="592">
        <f>H176-H178</f>
        <v>0</v>
      </c>
      <c r="I180" s="592">
        <f>I176-I178</f>
        <v>0</v>
      </c>
      <c r="J180" s="579"/>
    </row>
    <row r="181" spans="1:13">
      <c r="A181" s="576"/>
      <c r="B181" s="577"/>
      <c r="C181" s="577"/>
      <c r="D181" s="577"/>
      <c r="E181" s="616"/>
      <c r="F181" s="616"/>
      <c r="G181" s="616"/>
      <c r="H181" s="616"/>
      <c r="I181" s="616"/>
      <c r="J181" s="579"/>
    </row>
    <row r="182" spans="1:13" ht="12.75">
      <c r="A182" s="576"/>
      <c r="B182" s="577"/>
      <c r="C182" s="585" t="s">
        <v>493</v>
      </c>
      <c r="D182" s="585"/>
      <c r="E182" s="592">
        <f>E178*'3. Sources Uses'!$I$223</f>
        <v>0</v>
      </c>
      <c r="F182" s="592">
        <f>F178*'3. Sources Uses'!$I$223</f>
        <v>0</v>
      </c>
      <c r="G182" s="592">
        <f>G178*'3. Sources Uses'!$I$223</f>
        <v>0</v>
      </c>
      <c r="H182" s="592">
        <f>H178*'3. Sources Uses'!$I$223</f>
        <v>0</v>
      </c>
      <c r="I182" s="592">
        <f>I178*'3. Sources Uses'!$I$223</f>
        <v>0</v>
      </c>
      <c r="J182" s="587"/>
    </row>
    <row r="183" spans="1:13" ht="12.75">
      <c r="A183" s="584"/>
      <c r="B183" s="585"/>
      <c r="C183" s="585" t="s">
        <v>494</v>
      </c>
      <c r="D183" s="585"/>
      <c r="E183" s="592">
        <f>E176-E182</f>
        <v>1E-8</v>
      </c>
      <c r="F183" s="592">
        <f>F176-F182</f>
        <v>0</v>
      </c>
      <c r="G183" s="592">
        <f>G176-G182</f>
        <v>0</v>
      </c>
      <c r="H183" s="592">
        <f>H176-H182</f>
        <v>0</v>
      </c>
      <c r="I183" s="592">
        <f>I176-I182</f>
        <v>0</v>
      </c>
      <c r="J183" s="587"/>
    </row>
    <row r="184" spans="1:13" ht="12.75">
      <c r="A184" s="584"/>
      <c r="B184" s="585"/>
      <c r="C184" s="585"/>
      <c r="D184" s="585"/>
      <c r="E184" s="585"/>
      <c r="F184" s="585"/>
      <c r="G184" s="585"/>
      <c r="H184" s="585"/>
      <c r="I184" s="585"/>
      <c r="J184" s="587"/>
    </row>
    <row r="185" spans="1:13" ht="13.5" thickBot="1">
      <c r="A185" s="629"/>
      <c r="B185" s="630"/>
      <c r="C185" s="630"/>
      <c r="D185" s="630"/>
      <c r="E185" s="630"/>
      <c r="F185" s="630"/>
      <c r="G185" s="630"/>
      <c r="H185" s="630"/>
      <c r="I185" s="630"/>
      <c r="J185" s="631"/>
    </row>
    <row r="186" spans="1:13">
      <c r="A186" s="568"/>
      <c r="B186" s="568">
        <f>PROJNAME</f>
        <v>0</v>
      </c>
      <c r="C186" s="568"/>
      <c r="D186" s="568"/>
      <c r="E186" s="568"/>
      <c r="F186" s="568"/>
      <c r="G186" s="827" t="e">
        <f>'1. Description'!$G$59</f>
        <v>#VALUE!</v>
      </c>
      <c r="H186" s="568"/>
      <c r="I186" s="828" t="e">
        <f>'1. Description'!$H$59</f>
        <v>#VALUE!</v>
      </c>
      <c r="J186" s="567"/>
    </row>
    <row r="187" spans="1:13" ht="13.5" thickBot="1">
      <c r="A187" s="359" t="str">
        <f>'2. Dev. Team'!A1</f>
        <v>One Stop2000 Affordable Housing Finance Application [Version 1.21] ©</v>
      </c>
      <c r="B187" s="567"/>
      <c r="C187" s="567"/>
      <c r="D187" s="567"/>
      <c r="E187" s="567"/>
      <c r="F187" s="567"/>
      <c r="G187" s="567"/>
      <c r="H187" s="601" t="s">
        <v>495</v>
      </c>
      <c r="I187" s="601"/>
      <c r="J187" s="601"/>
    </row>
    <row r="188" spans="1:13" ht="26.25" thickBot="1">
      <c r="A188" s="602" t="s">
        <v>496</v>
      </c>
      <c r="B188" s="603"/>
      <c r="C188" s="603"/>
      <c r="D188" s="603"/>
      <c r="E188" s="603"/>
      <c r="F188" s="603"/>
      <c r="G188" s="603"/>
      <c r="H188" s="603"/>
      <c r="I188" s="603"/>
      <c r="J188" s="604"/>
    </row>
    <row r="189" spans="1:13" s="78" customFormat="1" ht="16.5" thickTop="1" thickBot="1">
      <c r="A189" s="605" t="s">
        <v>459</v>
      </c>
      <c r="B189" s="606"/>
      <c r="C189" s="606"/>
      <c r="D189" s="606"/>
      <c r="E189" s="606"/>
      <c r="F189" s="606"/>
      <c r="G189" s="606"/>
      <c r="H189" s="606"/>
      <c r="I189" s="606"/>
      <c r="J189" s="607"/>
      <c r="M189" s="103"/>
    </row>
    <row r="190" spans="1:13" ht="12" thickTop="1">
      <c r="A190" s="608"/>
      <c r="B190" s="609"/>
      <c r="C190" s="609"/>
      <c r="D190" s="609"/>
      <c r="E190" s="609"/>
      <c r="F190" s="609"/>
      <c r="G190" s="609"/>
      <c r="H190" s="609"/>
      <c r="I190" s="609"/>
      <c r="J190" s="610"/>
    </row>
    <row r="191" spans="1:13" ht="12.75">
      <c r="A191" s="621"/>
      <c r="B191" s="595"/>
      <c r="C191" s="595"/>
      <c r="D191" s="622"/>
      <c r="E191" s="612" t="s">
        <v>26</v>
      </c>
      <c r="F191" s="612" t="s">
        <v>27</v>
      </c>
      <c r="G191" s="612" t="s">
        <v>28</v>
      </c>
      <c r="H191" s="612" t="s">
        <v>29</v>
      </c>
      <c r="I191" s="612" t="s">
        <v>30</v>
      </c>
      <c r="J191" s="587"/>
    </row>
    <row r="192" spans="1:13" ht="13.5">
      <c r="A192" s="632"/>
      <c r="B192" s="595"/>
      <c r="C192" s="595"/>
      <c r="D192" s="595" t="s">
        <v>476</v>
      </c>
      <c r="E192" s="612" t="str">
        <f>IF(I131&gt;0,I131+1,"             N/A")</f>
        <v xml:space="preserve">             N/A</v>
      </c>
      <c r="F192" s="612" t="str">
        <f>IF(E192&gt;0,E192+1,"             N/A")</f>
        <v xml:space="preserve">             N/A</v>
      </c>
      <c r="G192" s="612" t="str">
        <f>IF(F192&gt;0,F192+1,"             N/A")</f>
        <v xml:space="preserve">             N/A</v>
      </c>
      <c r="H192" s="612" t="str">
        <f>IF(G192&gt;0,G192+1,"             N/A")</f>
        <v xml:space="preserve">             N/A</v>
      </c>
      <c r="I192" s="612" t="str">
        <f>IF(H192&gt;0,H192+1,"             N/A")</f>
        <v xml:space="preserve">             N/A</v>
      </c>
      <c r="J192" s="587"/>
    </row>
    <row r="193" spans="1:12" ht="12.75">
      <c r="A193" s="576"/>
      <c r="B193" s="593" t="s">
        <v>477</v>
      </c>
      <c r="C193" s="577"/>
      <c r="D193" s="585"/>
      <c r="E193" s="585"/>
      <c r="F193" s="585"/>
      <c r="G193" s="585"/>
      <c r="H193" s="585"/>
      <c r="I193" s="585"/>
      <c r="J193" s="587"/>
    </row>
    <row r="194" spans="1:12" ht="12.75">
      <c r="A194" s="576"/>
      <c r="B194" s="577"/>
      <c r="C194" s="585" t="s">
        <v>478</v>
      </c>
      <c r="D194" s="585"/>
      <c r="E194" s="592">
        <f>I133*(1+'4. Operating'!$I$75)</f>
        <v>0</v>
      </c>
      <c r="F194" s="592">
        <f>E194*(1+'4. Operating'!$I$75)</f>
        <v>0</v>
      </c>
      <c r="G194" s="592">
        <f>F194*(1+'4. Operating'!$I$75)</f>
        <v>0</v>
      </c>
      <c r="H194" s="592">
        <f>G194*(1+'4. Operating'!$I$75)</f>
        <v>0</v>
      </c>
      <c r="I194" s="592">
        <f>H194*(1+'4. Operating'!$I$75)</f>
        <v>0</v>
      </c>
      <c r="J194" s="587"/>
      <c r="L194" s="419"/>
    </row>
    <row r="195" spans="1:12" ht="12.75">
      <c r="A195" s="576"/>
      <c r="B195" s="577"/>
      <c r="C195" s="585" t="s">
        <v>479</v>
      </c>
      <c r="D195" s="585"/>
      <c r="E195" s="624">
        <f>I134*(1+'4. Operating'!$I$76)</f>
        <v>0</v>
      </c>
      <c r="F195" s="624">
        <f>E195*(1+'4. Operating'!$I$76)</f>
        <v>0</v>
      </c>
      <c r="G195" s="624">
        <f>F195*(1+'4. Operating'!$I$76)</f>
        <v>0</v>
      </c>
      <c r="H195" s="624">
        <f>G195*(1+'4. Operating'!$I$76)</f>
        <v>0</v>
      </c>
      <c r="I195" s="624">
        <f>H195*(1+'4. Operating'!$I$76)</f>
        <v>0</v>
      </c>
      <c r="J195" s="587"/>
      <c r="L195" s="419"/>
    </row>
    <row r="196" spans="1:12" ht="12.75">
      <c r="A196" s="576"/>
      <c r="B196" s="577"/>
      <c r="C196" s="585" t="s">
        <v>480</v>
      </c>
      <c r="D196" s="585"/>
      <c r="E196" s="624">
        <f>I135*(1+'4. Operating'!$I$77)</f>
        <v>0</v>
      </c>
      <c r="F196" s="624">
        <f>E196*(1+'4. Operating'!$I$77)</f>
        <v>0</v>
      </c>
      <c r="G196" s="624">
        <f>F196*(1+'4. Operating'!$I$77)</f>
        <v>0</v>
      </c>
      <c r="H196" s="624">
        <f>G196*(1+'4. Operating'!$I$77)</f>
        <v>0</v>
      </c>
      <c r="I196" s="624">
        <f>H196*(1+'4. Operating'!$I$77)</f>
        <v>0</v>
      </c>
      <c r="J196" s="587"/>
      <c r="L196" s="419"/>
    </row>
    <row r="197" spans="1:12" ht="12.75">
      <c r="A197" s="576"/>
      <c r="B197" s="577"/>
      <c r="C197" s="585" t="str">
        <f>"Other Income " &amp;'1. Description'!$G$65</f>
        <v>Other Income (User-defined)</v>
      </c>
      <c r="D197" s="585"/>
      <c r="E197" s="624">
        <f>I136*(1+'4. Operating'!$I$78)</f>
        <v>0</v>
      </c>
      <c r="F197" s="624">
        <f>E197*(1+'4. Operating'!$I$78)</f>
        <v>0</v>
      </c>
      <c r="G197" s="624">
        <f>F197*(1+'4. Operating'!$I$78)</f>
        <v>0</v>
      </c>
      <c r="H197" s="624">
        <f>G197*(1+'4. Operating'!$I$78)</f>
        <v>0</v>
      </c>
      <c r="I197" s="624">
        <f>H197*(1+'4. Operating'!$I$78)</f>
        <v>0</v>
      </c>
      <c r="J197" s="587"/>
      <c r="L197" s="419"/>
    </row>
    <row r="198" spans="1:12" ht="13.5" thickBot="1">
      <c r="A198" s="576"/>
      <c r="B198" s="577"/>
      <c r="C198" s="585" t="s">
        <v>1434</v>
      </c>
      <c r="D198" s="585"/>
      <c r="E198" s="625">
        <f>I137*(1+'4. Operating'!$I$79)</f>
        <v>0</v>
      </c>
      <c r="F198" s="625">
        <f>E198*(1+'4. Operating'!$I$79)</f>
        <v>0</v>
      </c>
      <c r="G198" s="625">
        <f>F198*(1+'4. Operating'!$I$79)</f>
        <v>0</v>
      </c>
      <c r="H198" s="625">
        <f>G198*(1+'4. Operating'!$I$79)</f>
        <v>0</v>
      </c>
      <c r="I198" s="625">
        <f>H198*(1+'4. Operating'!$I$79)</f>
        <v>0</v>
      </c>
      <c r="J198" s="587"/>
      <c r="L198" s="419"/>
    </row>
    <row r="199" spans="1:12" ht="13.5" thickTop="1">
      <c r="A199" s="576"/>
      <c r="B199" s="577"/>
      <c r="C199" s="595" t="s">
        <v>481</v>
      </c>
      <c r="D199" s="585"/>
      <c r="E199" s="624">
        <f>SUM(E194:E198)</f>
        <v>0</v>
      </c>
      <c r="F199" s="624">
        <f>SUM(F194:F198)</f>
        <v>0</v>
      </c>
      <c r="G199" s="624">
        <f>SUM(G194:G198)</f>
        <v>0</v>
      </c>
      <c r="H199" s="624">
        <f>SUM(H194:H198)</f>
        <v>0</v>
      </c>
      <c r="I199" s="624">
        <f>SUM(I194:I198)</f>
        <v>0</v>
      </c>
      <c r="J199" s="587"/>
      <c r="L199" s="419"/>
    </row>
    <row r="200" spans="1:12" ht="13.5" thickBot="1">
      <c r="A200" s="576"/>
      <c r="B200" s="577"/>
      <c r="C200" s="585" t="s">
        <v>482</v>
      </c>
      <c r="D200" s="585"/>
      <c r="E200" s="624">
        <f>IF($E$138&gt;0,($E$139/$E$138)*E199,0)</f>
        <v>0</v>
      </c>
      <c r="F200" s="624">
        <f>IF($E$138&gt;0,($E$139/$E$138)*F199,0)</f>
        <v>0</v>
      </c>
      <c r="G200" s="624">
        <f>IF($E$138&gt;0,($E$139/$E$138)*G199,0)</f>
        <v>0</v>
      </c>
      <c r="H200" s="624">
        <f>IF($E$138&gt;0,($E$139/$E$138)*H199,0)</f>
        <v>0</v>
      </c>
      <c r="I200" s="624">
        <f>IF($E$138&gt;0,($E$139/$E$138)*I199,0)</f>
        <v>0</v>
      </c>
      <c r="J200" s="587"/>
      <c r="L200" s="419"/>
    </row>
    <row r="201" spans="1:12" ht="13.5" thickTop="1">
      <c r="A201" s="576"/>
      <c r="B201" s="577"/>
      <c r="C201" s="595" t="s">
        <v>483</v>
      </c>
      <c r="D201" s="585"/>
      <c r="E201" s="626">
        <f>E199-E200</f>
        <v>0</v>
      </c>
      <c r="F201" s="626">
        <f>F199-F200</f>
        <v>0</v>
      </c>
      <c r="G201" s="626">
        <f>G199-G200</f>
        <v>0</v>
      </c>
      <c r="H201" s="626">
        <f>H199-H200</f>
        <v>0</v>
      </c>
      <c r="I201" s="626">
        <f>I199-I200</f>
        <v>0</v>
      </c>
      <c r="J201" s="587"/>
      <c r="L201" s="419"/>
    </row>
    <row r="202" spans="1:12" ht="12.75">
      <c r="A202" s="576"/>
      <c r="B202" s="577"/>
      <c r="C202" s="585" t="s">
        <v>148</v>
      </c>
      <c r="D202" s="585"/>
      <c r="E202" s="624">
        <f>I141*(1+'4. Operating'!$I$80)</f>
        <v>0</v>
      </c>
      <c r="F202" s="624">
        <f>E202*(1+'4. Operating'!$I$80)</f>
        <v>0</v>
      </c>
      <c r="G202" s="624">
        <f>F202*(1+'4. Operating'!$I$80)</f>
        <v>0</v>
      </c>
      <c r="H202" s="624">
        <f>G202*(1+'4. Operating'!$I$80)</f>
        <v>0</v>
      </c>
      <c r="I202" s="624">
        <f>H202*(1+'4. Operating'!$I$80)</f>
        <v>0</v>
      </c>
      <c r="J202" s="587"/>
      <c r="L202" s="419"/>
    </row>
    <row r="203" spans="1:12" ht="12.75">
      <c r="A203" s="576"/>
      <c r="B203" s="577"/>
      <c r="C203" s="585" t="s">
        <v>482</v>
      </c>
      <c r="D203" s="585"/>
      <c r="E203" s="624">
        <f>E202*'4. Operating'!$F$72</f>
        <v>0</v>
      </c>
      <c r="F203" s="624">
        <f>F202*'4. Operating'!$F$72</f>
        <v>0</v>
      </c>
      <c r="G203" s="624">
        <f>G202*'4. Operating'!$F$72</f>
        <v>0</v>
      </c>
      <c r="H203" s="624">
        <f>H202*'4. Operating'!$F$72</f>
        <v>0</v>
      </c>
      <c r="I203" s="624">
        <f>I202*'4. Operating'!$F$72</f>
        <v>0</v>
      </c>
      <c r="J203" s="587"/>
      <c r="L203" s="419"/>
    </row>
    <row r="204" spans="1:12" ht="13.5" thickBot="1">
      <c r="A204" s="576"/>
      <c r="B204" s="577"/>
      <c r="C204" s="585" t="s">
        <v>484</v>
      </c>
      <c r="D204" s="585"/>
      <c r="E204" s="624">
        <f>E202-E203</f>
        <v>0</v>
      </c>
      <c r="F204" s="624">
        <f>F202-F203</f>
        <v>0</v>
      </c>
      <c r="G204" s="624">
        <f>G202-G203</f>
        <v>0</v>
      </c>
      <c r="H204" s="624">
        <f>H202-H203</f>
        <v>0</v>
      </c>
      <c r="I204" s="624">
        <f>I202-I203</f>
        <v>0</v>
      </c>
      <c r="J204" s="587"/>
      <c r="L204" s="419"/>
    </row>
    <row r="205" spans="1:12" ht="13.5" thickTop="1">
      <c r="A205" s="576"/>
      <c r="B205" s="577"/>
      <c r="C205" s="595" t="s">
        <v>485</v>
      </c>
      <c r="D205" s="585"/>
      <c r="E205" s="626">
        <f>E201+E204</f>
        <v>0</v>
      </c>
      <c r="F205" s="626">
        <f>F201+F204</f>
        <v>0</v>
      </c>
      <c r="G205" s="626">
        <f>G201+G204</f>
        <v>0</v>
      </c>
      <c r="H205" s="626">
        <f>H201+H204</f>
        <v>0</v>
      </c>
      <c r="I205" s="626">
        <f>I201+I204</f>
        <v>0</v>
      </c>
      <c r="J205" s="587"/>
      <c r="L205" s="419"/>
    </row>
    <row r="206" spans="1:12" ht="12.75">
      <c r="A206" s="576"/>
      <c r="B206" s="577"/>
      <c r="C206" s="585" t="s">
        <v>398</v>
      </c>
      <c r="D206" s="585"/>
      <c r="E206" s="624">
        <f>I145*(1+'4. Operating'!$I81)</f>
        <v>0</v>
      </c>
      <c r="F206" s="624">
        <f>E206*(1+'4. Operating'!$I81)</f>
        <v>0</v>
      </c>
      <c r="G206" s="624">
        <f>F206*(1+'4. Operating'!$I81)</f>
        <v>0</v>
      </c>
      <c r="H206" s="624">
        <f>G206*(1+'4. Operating'!$I81)</f>
        <v>0</v>
      </c>
      <c r="I206" s="624">
        <f>H206*(1+'4. Operating'!$I81)</f>
        <v>0</v>
      </c>
      <c r="J206" s="587"/>
    </row>
    <row r="207" spans="1:12" ht="12.75">
      <c r="A207" s="576"/>
      <c r="B207" s="577"/>
      <c r="C207" s="585" t="s">
        <v>1061</v>
      </c>
      <c r="D207" s="750">
        <f>'4. Operating'!D59</f>
        <v>0</v>
      </c>
      <c r="E207" s="624">
        <f>I146*(1+'4. Operating'!$I82)</f>
        <v>0</v>
      </c>
      <c r="F207" s="624">
        <f>E207*(1+'4. Operating'!$I82)</f>
        <v>0</v>
      </c>
      <c r="G207" s="624">
        <f>F207*(1+'4. Operating'!$I82)</f>
        <v>0</v>
      </c>
      <c r="H207" s="624">
        <f>G207*(1+'4. Operating'!$I82)</f>
        <v>0</v>
      </c>
      <c r="I207" s="624">
        <f>H207*(1+'4. Operating'!$I82)</f>
        <v>0</v>
      </c>
      <c r="J207" s="587"/>
    </row>
    <row r="208" spans="1:12" ht="12.75">
      <c r="A208" s="576"/>
      <c r="B208" s="577"/>
      <c r="C208" s="585" t="s">
        <v>1061</v>
      </c>
      <c r="D208" s="750">
        <f>'4. Operating'!D60</f>
        <v>0</v>
      </c>
      <c r="E208" s="624">
        <f>I147*(1+'4. Operating'!$I83)</f>
        <v>0</v>
      </c>
      <c r="F208" s="624">
        <f>E208*(1+'4. Operating'!$I83)</f>
        <v>0</v>
      </c>
      <c r="G208" s="624">
        <f>F208*(1+'4. Operating'!$I83)</f>
        <v>0</v>
      </c>
      <c r="H208" s="624">
        <f>G208*(1+'4. Operating'!$I83)</f>
        <v>0</v>
      </c>
      <c r="I208" s="624">
        <f>H208*(1+'4. Operating'!$I83)</f>
        <v>0</v>
      </c>
      <c r="J208" s="587"/>
    </row>
    <row r="209" spans="1:10" ht="12.75">
      <c r="A209" s="576"/>
      <c r="B209" s="577"/>
      <c r="C209" s="585" t="s">
        <v>1061</v>
      </c>
      <c r="D209" s="750">
        <f>'4. Operating'!D61</f>
        <v>0</v>
      </c>
      <c r="E209" s="624">
        <f>I148*(1+'4. Operating'!$I84)</f>
        <v>0</v>
      </c>
      <c r="F209" s="624">
        <f>E209*(1+'4. Operating'!$I84)</f>
        <v>0</v>
      </c>
      <c r="G209" s="624">
        <f>F209*(1+'4. Operating'!$I84)</f>
        <v>0</v>
      </c>
      <c r="H209" s="624">
        <f>G209*(1+'4. Operating'!$I84)</f>
        <v>0</v>
      </c>
      <c r="I209" s="624">
        <f>H209*(1+'4. Operating'!$I84)</f>
        <v>0</v>
      </c>
      <c r="J209" s="587"/>
    </row>
    <row r="210" spans="1:10" ht="12.75">
      <c r="A210" s="576"/>
      <c r="B210" s="577"/>
      <c r="C210" s="585" t="s">
        <v>1061</v>
      </c>
      <c r="D210" s="750">
        <f>'4. Operating'!D62</f>
        <v>0</v>
      </c>
      <c r="E210" s="624">
        <f>I149*(1+'4. Operating'!$I85)</f>
        <v>0</v>
      </c>
      <c r="F210" s="624">
        <f>E210*(1+'4. Operating'!$I85)</f>
        <v>0</v>
      </c>
      <c r="G210" s="624">
        <f>F210*(1+'4. Operating'!$I85)</f>
        <v>0</v>
      </c>
      <c r="H210" s="624">
        <f>G210*(1+'4. Operating'!$I85)</f>
        <v>0</v>
      </c>
      <c r="I210" s="624">
        <f>H210*(1+'4. Operating'!$I85)</f>
        <v>0</v>
      </c>
      <c r="J210" s="587"/>
    </row>
    <row r="211" spans="1:10" ht="12.75">
      <c r="A211" s="576"/>
      <c r="B211" s="577"/>
      <c r="C211" s="585" t="s">
        <v>1061</v>
      </c>
      <c r="D211" s="750">
        <f>'4. Operating'!D63</f>
        <v>0</v>
      </c>
      <c r="E211" s="624">
        <f>I150*(1+'4. Operating'!$I86)</f>
        <v>0</v>
      </c>
      <c r="F211" s="624">
        <f>E211*(1+'4. Operating'!$I86)</f>
        <v>0</v>
      </c>
      <c r="G211" s="624">
        <f>F211*(1+'4. Operating'!$I86)</f>
        <v>0</v>
      </c>
      <c r="H211" s="624">
        <f>G211*(1+'4. Operating'!$I86)</f>
        <v>0</v>
      </c>
      <c r="I211" s="624">
        <f>H211*(1+'4. Operating'!$I86)</f>
        <v>0</v>
      </c>
      <c r="J211" s="587"/>
    </row>
    <row r="212" spans="1:10" ht="13.5" thickBot="1">
      <c r="A212" s="576"/>
      <c r="B212" s="577"/>
      <c r="C212" s="585" t="s">
        <v>1061</v>
      </c>
      <c r="D212" s="750">
        <f>'4. Operating'!D64</f>
        <v>0</v>
      </c>
      <c r="E212" s="624">
        <f>I151*(1+'4. Operating'!$I87)</f>
        <v>0</v>
      </c>
      <c r="F212" s="624">
        <f>E212*(1+'4. Operating'!$I87)</f>
        <v>0</v>
      </c>
      <c r="G212" s="624">
        <f>F212*(1+'4. Operating'!$I87)</f>
        <v>0</v>
      </c>
      <c r="H212" s="624">
        <f>G212*(1+'4. Operating'!$I87)</f>
        <v>0</v>
      </c>
      <c r="I212" s="624">
        <f>H212*(1+'4. Operating'!$I87)</f>
        <v>0</v>
      </c>
      <c r="J212" s="587"/>
    </row>
    <row r="213" spans="1:10" ht="13.5" thickTop="1">
      <c r="A213" s="576"/>
      <c r="B213" s="577"/>
      <c r="C213" s="595" t="s">
        <v>486</v>
      </c>
      <c r="D213" s="585"/>
      <c r="E213" s="626">
        <f>SUM(E205:E212)</f>
        <v>0</v>
      </c>
      <c r="F213" s="626">
        <f>SUM(F205:F212)</f>
        <v>0</v>
      </c>
      <c r="G213" s="626">
        <f>SUM(G205:G212)</f>
        <v>0</v>
      </c>
      <c r="H213" s="626">
        <f>SUM(H205:H212)</f>
        <v>0</v>
      </c>
      <c r="I213" s="626">
        <f>SUM(I205:I212)</f>
        <v>0</v>
      </c>
      <c r="J213" s="587"/>
    </row>
    <row r="214" spans="1:10" ht="12.75">
      <c r="A214" s="576"/>
      <c r="B214" s="577"/>
      <c r="C214" s="585" t="s">
        <v>446</v>
      </c>
      <c r="D214" s="585"/>
      <c r="E214" s="624">
        <f>'4. Operating'!$E102+'4. Operating'!$F102</f>
        <v>0</v>
      </c>
      <c r="F214" s="624">
        <f>'4. Operating'!$E103+'4. Operating'!$F103</f>
        <v>0</v>
      </c>
      <c r="G214" s="624">
        <f>'4. Operating'!$E104+'4. Operating'!$F104</f>
        <v>0</v>
      </c>
      <c r="H214" s="624">
        <f>'4. Operating'!$E105+'4. Operating'!$F105</f>
        <v>0</v>
      </c>
      <c r="I214" s="624">
        <f>'4. Operating'!$E106+'4. Operating'!$F106</f>
        <v>0</v>
      </c>
      <c r="J214" s="587"/>
    </row>
    <row r="215" spans="1:10" ht="13.5" thickBot="1">
      <c r="A215" s="576"/>
      <c r="B215" s="577"/>
      <c r="C215" s="585" t="s">
        <v>448</v>
      </c>
      <c r="D215" s="585"/>
      <c r="E215" s="624">
        <f>'4. Operating'!$H102+0</f>
        <v>0</v>
      </c>
      <c r="F215" s="624">
        <f>'4. Operating'!$H103+0</f>
        <v>0</v>
      </c>
      <c r="G215" s="624">
        <f>'4. Operating'!$H104+0</f>
        <v>0</v>
      </c>
      <c r="H215" s="624">
        <f>'4. Operating'!$H105+0</f>
        <v>0</v>
      </c>
      <c r="I215" s="624">
        <f>'4. Operating'!$H106+0</f>
        <v>0</v>
      </c>
      <c r="J215" s="587"/>
    </row>
    <row r="216" spans="1:10" ht="13.5" thickTop="1">
      <c r="A216" s="576"/>
      <c r="B216" s="577"/>
      <c r="C216" s="595" t="s">
        <v>487</v>
      </c>
      <c r="D216" s="585"/>
      <c r="E216" s="627">
        <f>E213+E214+E215</f>
        <v>0</v>
      </c>
      <c r="F216" s="627">
        <f>F213+F214+F215</f>
        <v>0</v>
      </c>
      <c r="G216" s="627">
        <f>G213+G214+G215</f>
        <v>0</v>
      </c>
      <c r="H216" s="627">
        <f>H213+H214+H215</f>
        <v>0</v>
      </c>
      <c r="I216" s="627">
        <f>I213+I214+I215</f>
        <v>0</v>
      </c>
      <c r="J216" s="579"/>
    </row>
    <row r="217" spans="1:10">
      <c r="A217" s="576"/>
      <c r="B217" s="577"/>
      <c r="C217" s="577"/>
      <c r="D217" s="577"/>
      <c r="E217" s="577"/>
      <c r="F217" s="577"/>
      <c r="G217" s="577"/>
      <c r="H217" s="577"/>
      <c r="I217" s="577"/>
      <c r="J217" s="579"/>
    </row>
    <row r="218" spans="1:10" ht="12.75">
      <c r="A218" s="576"/>
      <c r="B218" s="593" t="s">
        <v>488</v>
      </c>
      <c r="C218" s="577"/>
      <c r="D218" s="585"/>
      <c r="E218" s="585"/>
      <c r="F218" s="585"/>
      <c r="G218" s="585"/>
      <c r="H218" s="585"/>
      <c r="I218" s="585"/>
      <c r="J218" s="587"/>
    </row>
    <row r="219" spans="1:10" ht="12.75">
      <c r="A219" s="576"/>
      <c r="B219" s="577"/>
      <c r="C219" s="585" t="s">
        <v>53</v>
      </c>
      <c r="D219" s="585"/>
      <c r="E219" s="624">
        <f>($E$158/$E$155)*E216</f>
        <v>0</v>
      </c>
      <c r="F219" s="624">
        <f>($E$158/$E$155)*F216</f>
        <v>0</v>
      </c>
      <c r="G219" s="624">
        <f>($E$158/$E$155)*G216</f>
        <v>0</v>
      </c>
      <c r="H219" s="624">
        <f>($E$158/$E$155)*H216</f>
        <v>0</v>
      </c>
      <c r="I219" s="624">
        <f>($E$158/$E$155)*I216</f>
        <v>0</v>
      </c>
      <c r="J219" s="587"/>
    </row>
    <row r="220" spans="1:10" ht="12.75">
      <c r="A220" s="576"/>
      <c r="B220" s="577"/>
      <c r="C220" s="585" t="s">
        <v>442</v>
      </c>
      <c r="D220" s="585"/>
      <c r="E220" s="624">
        <f>I159*(1+'4. Operating'!$I$186)</f>
        <v>0</v>
      </c>
      <c r="F220" s="624">
        <f>E220*(1+'4. Operating'!$I$186)</f>
        <v>0</v>
      </c>
      <c r="G220" s="624">
        <f>F220*(1+'4. Operating'!$I$186)</f>
        <v>0</v>
      </c>
      <c r="H220" s="624">
        <f>G220*(1+'4. Operating'!$I$186)</f>
        <v>0</v>
      </c>
      <c r="I220" s="624">
        <f>H220*(1+'4. Operating'!$I$186)</f>
        <v>0</v>
      </c>
      <c r="J220" s="587"/>
    </row>
    <row r="221" spans="1:10" ht="12.75">
      <c r="A221" s="576"/>
      <c r="B221" s="577"/>
      <c r="C221" s="585" t="s">
        <v>444</v>
      </c>
      <c r="D221" s="585"/>
      <c r="E221" s="624">
        <f>I160*(1+'4. Operating'!$I$186)</f>
        <v>0</v>
      </c>
      <c r="F221" s="624">
        <f>E221*(1+'4. Operating'!$I$186)</f>
        <v>0</v>
      </c>
      <c r="G221" s="624">
        <f>F221*(1+'4. Operating'!$I$186)</f>
        <v>0</v>
      </c>
      <c r="H221" s="624">
        <f>G221*(1+'4. Operating'!$I$186)</f>
        <v>0</v>
      </c>
      <c r="I221" s="624">
        <f>H221*(1+'4. Operating'!$I$186)</f>
        <v>0</v>
      </c>
      <c r="J221" s="587"/>
    </row>
    <row r="222" spans="1:10" ht="12.75">
      <c r="A222" s="576"/>
      <c r="B222" s="577"/>
      <c r="C222" s="585" t="s">
        <v>76</v>
      </c>
      <c r="D222" s="585"/>
      <c r="E222" s="624">
        <f>I161*(1+'4. Operating'!$I$186)</f>
        <v>0</v>
      </c>
      <c r="F222" s="624">
        <f>E222*(1+'4. Operating'!$I$186)</f>
        <v>0</v>
      </c>
      <c r="G222" s="624">
        <f>F222*(1+'4. Operating'!$I$186)</f>
        <v>0</v>
      </c>
      <c r="H222" s="624">
        <f>G222*(1+'4. Operating'!$I$186)</f>
        <v>0</v>
      </c>
      <c r="I222" s="624">
        <f>H222*(1+'4. Operating'!$I$186)</f>
        <v>0</v>
      </c>
      <c r="J222" s="587"/>
    </row>
    <row r="223" spans="1:10" ht="12.75">
      <c r="A223" s="576"/>
      <c r="B223" s="577"/>
      <c r="C223" s="585" t="s">
        <v>1294</v>
      </c>
      <c r="D223" s="585"/>
      <c r="E223" s="624">
        <f>I162*(1+'4. Operating'!$I$186)</f>
        <v>0</v>
      </c>
      <c r="F223" s="624">
        <f>E223*(1+'4. Operating'!$I$186)</f>
        <v>0</v>
      </c>
      <c r="G223" s="624">
        <f>F223*(1+'4. Operating'!$I$186)</f>
        <v>0</v>
      </c>
      <c r="H223" s="624">
        <f>G223*(1+'4. Operating'!$I$186)</f>
        <v>0</v>
      </c>
      <c r="I223" s="624">
        <f>H223*(1+'4. Operating'!$I$186)</f>
        <v>0</v>
      </c>
      <c r="J223" s="587"/>
    </row>
    <row r="224" spans="1:10" ht="12.75">
      <c r="A224" s="576"/>
      <c r="B224" s="577"/>
      <c r="C224" s="585" t="s">
        <v>1244</v>
      </c>
      <c r="D224" s="585"/>
      <c r="E224" s="624">
        <f>I163*(1+'4. Operating'!$I$186)</f>
        <v>0</v>
      </c>
      <c r="F224" s="624">
        <f>E224*(1+'4. Operating'!$I$186)</f>
        <v>0</v>
      </c>
      <c r="G224" s="624">
        <f>F224*(1+'4. Operating'!$I$186)</f>
        <v>0</v>
      </c>
      <c r="H224" s="624">
        <f>G224*(1+'4. Operating'!$I$186)</f>
        <v>0</v>
      </c>
      <c r="I224" s="624">
        <f>H224*(1+'4. Operating'!$I$186)</f>
        <v>0</v>
      </c>
      <c r="J224" s="587"/>
    </row>
    <row r="225" spans="1:10" ht="12.75">
      <c r="A225" s="576"/>
      <c r="B225" s="577"/>
      <c r="C225" s="585" t="s">
        <v>78</v>
      </c>
      <c r="D225" s="585"/>
      <c r="E225" s="624">
        <f>I164*(1+'4. Operating'!$I$186)</f>
        <v>0</v>
      </c>
      <c r="F225" s="624">
        <f>E225*(1+'4. Operating'!$I$186)</f>
        <v>0</v>
      </c>
      <c r="G225" s="624">
        <f>F225*(1+'4. Operating'!$I$186)</f>
        <v>0</v>
      </c>
      <c r="H225" s="624">
        <f>G225*(1+'4. Operating'!$I$186)</f>
        <v>0</v>
      </c>
      <c r="I225" s="624">
        <f>H225*(1+'4. Operating'!$I$186)</f>
        <v>0</v>
      </c>
      <c r="J225" s="587"/>
    </row>
    <row r="226" spans="1:10" ht="12.75">
      <c r="A226" s="576"/>
      <c r="B226" s="577"/>
      <c r="C226" s="585" t="s">
        <v>489</v>
      </c>
      <c r="D226" s="585"/>
      <c r="E226" s="624">
        <f>I165*(1+'4. Operating'!$I$186)</f>
        <v>0</v>
      </c>
      <c r="F226" s="624">
        <f>E226*(1+'4. Operating'!$I$186)</f>
        <v>0</v>
      </c>
      <c r="G226" s="624">
        <f>F226*(1+'4. Operating'!$I$186)</f>
        <v>0</v>
      </c>
      <c r="H226" s="624">
        <f>G226*(1+'4. Operating'!$I$186)</f>
        <v>0</v>
      </c>
      <c r="I226" s="624">
        <f>H226*(1+'4. Operating'!$I$186)</f>
        <v>0</v>
      </c>
      <c r="J226" s="587"/>
    </row>
    <row r="227" spans="1:10" ht="12.75">
      <c r="A227" s="576"/>
      <c r="B227" s="577"/>
      <c r="C227" s="585" t="s">
        <v>79</v>
      </c>
      <c r="D227" s="585"/>
      <c r="E227" s="624">
        <f>I166*(1+'4. Operating'!$I$184)</f>
        <v>0</v>
      </c>
      <c r="F227" s="624">
        <f>E227*(1+'4. Operating'!$I$184)</f>
        <v>0</v>
      </c>
      <c r="G227" s="624">
        <f>F227*(1+'4. Operating'!$I$184)</f>
        <v>0</v>
      </c>
      <c r="H227" s="624">
        <f>G227*(1+'4. Operating'!$I$184)</f>
        <v>0</v>
      </c>
      <c r="I227" s="624">
        <f>H227*(1+'4. Operating'!$I$184)</f>
        <v>0</v>
      </c>
      <c r="J227" s="587"/>
    </row>
    <row r="228" spans="1:10" ht="12.75">
      <c r="A228" s="576"/>
      <c r="B228" s="577"/>
      <c r="C228" s="585" t="s">
        <v>81</v>
      </c>
      <c r="D228" s="585"/>
      <c r="E228" s="624">
        <f>I167*(1+'4. Operating'!$I$186)</f>
        <v>0</v>
      </c>
      <c r="F228" s="624">
        <f>E228*(1+'4. Operating'!$I$186)</f>
        <v>0</v>
      </c>
      <c r="G228" s="624">
        <f>F228*(1+'4. Operating'!$I$186)</f>
        <v>0</v>
      </c>
      <c r="H228" s="624">
        <f>G228*(1+'4. Operating'!$I$186)</f>
        <v>0</v>
      </c>
      <c r="I228" s="624">
        <f>H228*(1+'4. Operating'!$I$186)</f>
        <v>0</v>
      </c>
      <c r="J228" s="587"/>
    </row>
    <row r="229" spans="1:10" ht="12.75">
      <c r="A229" s="576"/>
      <c r="B229" s="577"/>
      <c r="C229" s="585" t="s">
        <v>82</v>
      </c>
      <c r="D229" s="585"/>
      <c r="E229" s="624">
        <f>I168*(1+'4. Operating'!$I$186)</f>
        <v>0</v>
      </c>
      <c r="F229" s="624">
        <f>E229*(1+'4. Operating'!$I$186)</f>
        <v>0</v>
      </c>
      <c r="G229" s="624">
        <f>F229*(1+'4. Operating'!$I$186)</f>
        <v>0</v>
      </c>
      <c r="H229" s="624">
        <f>G229*(1+'4. Operating'!$I$186)</f>
        <v>0</v>
      </c>
      <c r="I229" s="624">
        <f>H229*(1+'4. Operating'!$I$186)</f>
        <v>0</v>
      </c>
      <c r="J229" s="587"/>
    </row>
    <row r="230" spans="1:10" ht="12.75">
      <c r="A230" s="576"/>
      <c r="B230" s="577"/>
      <c r="C230" s="585" t="s">
        <v>1290</v>
      </c>
      <c r="D230" s="585"/>
      <c r="E230" s="624">
        <f>I169*(1+'4. Operating'!$I$185)</f>
        <v>0</v>
      </c>
      <c r="F230" s="624">
        <f>E230*(1+'4. Operating'!$I$185)</f>
        <v>0</v>
      </c>
      <c r="G230" s="624">
        <f>F230*(1+'4. Operating'!$I$185)</f>
        <v>0</v>
      </c>
      <c r="H230" s="624">
        <f>G230*(1+'4. Operating'!$I$185)</f>
        <v>0</v>
      </c>
      <c r="I230" s="624">
        <f>H230*(1+'4. Operating'!$I$185)</f>
        <v>0</v>
      </c>
      <c r="J230" s="587"/>
    </row>
    <row r="231" spans="1:10" ht="12.75">
      <c r="A231" s="576"/>
      <c r="B231" s="577"/>
      <c r="C231" s="585" t="s">
        <v>83</v>
      </c>
      <c r="D231" s="585"/>
      <c r="E231" s="624">
        <f>I170*(1+'4. Operating'!$I$186)</f>
        <v>0</v>
      </c>
      <c r="F231" s="624">
        <f>E231*(1+'4. Operating'!$I$186)</f>
        <v>0</v>
      </c>
      <c r="G231" s="624">
        <f>F231*(1+'4. Operating'!$I$186)</f>
        <v>0</v>
      </c>
      <c r="H231" s="624">
        <f>G231*(1+'4. Operating'!$I$186)</f>
        <v>0</v>
      </c>
      <c r="I231" s="624">
        <f>H231*(1+'4. Operating'!$I$186)</f>
        <v>0</v>
      </c>
      <c r="J231" s="587"/>
    </row>
    <row r="232" spans="1:10" ht="12.75">
      <c r="A232" s="576"/>
      <c r="B232" s="577"/>
      <c r="C232" s="585" t="s">
        <v>1291</v>
      </c>
      <c r="D232" s="585"/>
      <c r="E232" s="624">
        <f>I171*(1+'4. Operating'!$I$186)</f>
        <v>0</v>
      </c>
      <c r="F232" s="624">
        <f>E232*(1+'4. Operating'!$I$186)</f>
        <v>0</v>
      </c>
      <c r="G232" s="624">
        <f>F232*(1+'4. Operating'!$I$186)</f>
        <v>0</v>
      </c>
      <c r="H232" s="624">
        <f>G232*(1+'4. Operating'!$I$186)</f>
        <v>0</v>
      </c>
      <c r="I232" s="624">
        <f>H232*(1+'4. Operating'!$I$186)</f>
        <v>0</v>
      </c>
      <c r="J232" s="587"/>
    </row>
    <row r="233" spans="1:10" ht="12.75">
      <c r="A233" s="576"/>
      <c r="B233" s="577"/>
      <c r="C233" s="585" t="str">
        <f>C172</f>
        <v>MIP</v>
      </c>
      <c r="D233" s="585"/>
      <c r="E233" s="624">
        <f>'3. Sources Uses'!V23+'3. Sources Uses'!AH23+'3. Sources Uses'!AT23+'3. Sources Uses'!BG23+'3. Sources Uses'!BT23</f>
        <v>0</v>
      </c>
      <c r="F233" s="624">
        <f>'3. Sources Uses'!V24+'3. Sources Uses'!AH24+'3. Sources Uses'!AT24+'3. Sources Uses'!BG24+'3. Sources Uses'!BT24</f>
        <v>0</v>
      </c>
      <c r="G233" s="624">
        <f>'3. Sources Uses'!V25+'3. Sources Uses'!AH25+'3. Sources Uses'!AT25+'3. Sources Uses'!BG25+'3. Sources Uses'!BT25</f>
        <v>0</v>
      </c>
      <c r="H233" s="624">
        <f>'3. Sources Uses'!V26+'3. Sources Uses'!AH26+'3. Sources Uses'!AT26+'3. Sources Uses'!BG26+'3. Sources Uses'!BT26</f>
        <v>0</v>
      </c>
      <c r="I233" s="624">
        <f>'3. Sources Uses'!V27+'3. Sources Uses'!AH27+'3. Sources Uses'!AT27+'3. Sources Uses'!BG27+'3. Sources Uses'!BT27</f>
        <v>0</v>
      </c>
      <c r="J233" s="587"/>
    </row>
    <row r="234" spans="1:10" ht="13.5" thickBot="1">
      <c r="A234" s="576"/>
      <c r="B234" s="577"/>
      <c r="C234" s="585" t="str">
        <f>'4. Operating'!C175:D175</f>
        <v>Other:</v>
      </c>
      <c r="D234" s="585"/>
      <c r="E234" s="624">
        <f>I173*(1+'4. Operating'!$I$186)</f>
        <v>0</v>
      </c>
      <c r="F234" s="624">
        <f>E234*(1+'4. Operating'!$I$186)</f>
        <v>0</v>
      </c>
      <c r="G234" s="624">
        <f>F234*(1+'4. Operating'!$I$186)</f>
        <v>0</v>
      </c>
      <c r="H234" s="624">
        <f>G234*(1+'4. Operating'!$I$186)</f>
        <v>0</v>
      </c>
      <c r="I234" s="624">
        <f>H234*(1+'4. Operating'!$I$186)</f>
        <v>0</v>
      </c>
      <c r="J234" s="587"/>
    </row>
    <row r="235" spans="1:10" ht="13.5" thickTop="1">
      <c r="A235" s="576"/>
      <c r="B235" s="577"/>
      <c r="C235" s="595" t="s">
        <v>490</v>
      </c>
      <c r="D235" s="585"/>
      <c r="E235" s="627">
        <f>SUM(E219:E234)</f>
        <v>0</v>
      </c>
      <c r="F235" s="627">
        <f>SUM(F219:F234)</f>
        <v>0</v>
      </c>
      <c r="G235" s="627">
        <f>SUM(G219:G234)</f>
        <v>0</v>
      </c>
      <c r="H235" s="627">
        <f>SUM(H219:H234)</f>
        <v>0</v>
      </c>
      <c r="I235" s="627">
        <f>SUM(I219:I234)</f>
        <v>0</v>
      </c>
      <c r="J235" s="579"/>
    </row>
    <row r="236" spans="1:10">
      <c r="A236" s="576"/>
      <c r="B236" s="577"/>
      <c r="C236" s="577"/>
      <c r="D236" s="577"/>
      <c r="E236" s="616"/>
      <c r="F236" s="616"/>
      <c r="G236" s="616"/>
      <c r="H236" s="616"/>
      <c r="I236" s="616"/>
      <c r="J236" s="579"/>
    </row>
    <row r="237" spans="1:10" ht="12.75">
      <c r="A237" s="576"/>
      <c r="B237" s="593" t="s">
        <v>491</v>
      </c>
      <c r="C237" s="577"/>
      <c r="D237" s="585"/>
      <c r="E237" s="592">
        <f>E216-E235</f>
        <v>0</v>
      </c>
      <c r="F237" s="592">
        <f>F216-F235</f>
        <v>0</v>
      </c>
      <c r="G237" s="592">
        <f>G216-G235</f>
        <v>0</v>
      </c>
      <c r="H237" s="592">
        <f>H216-H235</f>
        <v>0</v>
      </c>
      <c r="I237" s="592">
        <f>I216-I235</f>
        <v>0</v>
      </c>
      <c r="J237" s="587"/>
    </row>
    <row r="238" spans="1:10">
      <c r="A238" s="576"/>
      <c r="B238" s="577"/>
      <c r="C238" s="577"/>
      <c r="D238" s="577"/>
      <c r="E238" s="616"/>
      <c r="F238" s="616"/>
      <c r="G238" s="616"/>
      <c r="H238" s="616"/>
      <c r="I238" s="616"/>
      <c r="J238" s="579"/>
    </row>
    <row r="239" spans="1:10" ht="12.75">
      <c r="A239" s="576"/>
      <c r="B239" s="577"/>
      <c r="C239" s="585" t="s">
        <v>453</v>
      </c>
      <c r="D239" s="585"/>
      <c r="E239" s="592">
        <f>'3. Sources Uses'!W23+'3. Sources Uses'!AI23+'3. Sources Uses'!AU23+'3. Sources Uses'!BH23+'3. Sources Uses'!BU23</f>
        <v>0</v>
      </c>
      <c r="F239" s="592">
        <f>'3. Sources Uses'!W$24+'3. Sources Uses'!AI24+'3. Sources Uses'!AU24+'3. Sources Uses'!BH24+'3. Sources Uses'!BU24</f>
        <v>0</v>
      </c>
      <c r="G239" s="592">
        <f>'3. Sources Uses'!W25+'3. Sources Uses'!AI25+'3. Sources Uses'!AU25+'3. Sources Uses'!BH25+'3. Sources Uses'!BU25</f>
        <v>0</v>
      </c>
      <c r="H239" s="592">
        <f>'3. Sources Uses'!W26+'3. Sources Uses'!AI26+'3. Sources Uses'!AU26+'3. Sources Uses'!BH26+'3. Sources Uses'!BU26</f>
        <v>0</v>
      </c>
      <c r="I239" s="592">
        <f>'3. Sources Uses'!W27+'3. Sources Uses'!AI27+'3. Sources Uses'!AU27+'3. Sources Uses'!BH27+'3. Sources Uses'!BU27</f>
        <v>0</v>
      </c>
      <c r="J239" s="587"/>
    </row>
    <row r="240" spans="1:10" ht="12.75">
      <c r="A240" s="576"/>
      <c r="B240" s="577"/>
      <c r="C240" s="595" t="s">
        <v>454</v>
      </c>
      <c r="D240" s="585"/>
      <c r="E240" s="628" t="str">
        <f>IF(E239&gt;0,E237/E239,"               N/A")</f>
        <v xml:space="preserve">               N/A</v>
      </c>
      <c r="F240" s="628" t="str">
        <f>IF(F239&gt;0,F237/F239,"               N/A")</f>
        <v xml:space="preserve">               N/A</v>
      </c>
      <c r="G240" s="628" t="str">
        <f>IF(G239&gt;0,G237/G239,"               N/A")</f>
        <v xml:space="preserve">               N/A</v>
      </c>
      <c r="H240" s="628" t="str">
        <f>IF(H239&gt;0,H237/H239,"               N/A")</f>
        <v xml:space="preserve">               N/A</v>
      </c>
      <c r="I240" s="628" t="str">
        <f>IF(I239&gt;0,I237/I239,"               N/A")</f>
        <v xml:space="preserve">               N/A</v>
      </c>
      <c r="J240" s="587"/>
    </row>
    <row r="241" spans="1:10" ht="12.75">
      <c r="A241" s="576"/>
      <c r="B241" s="577"/>
      <c r="C241" s="585" t="s">
        <v>492</v>
      </c>
      <c r="D241" s="585"/>
      <c r="E241" s="592">
        <f>E237-E239</f>
        <v>0</v>
      </c>
      <c r="F241" s="592">
        <f>F237-F239</f>
        <v>0</v>
      </c>
      <c r="G241" s="592">
        <f>G237-G239</f>
        <v>0</v>
      </c>
      <c r="H241" s="592">
        <f>H237-H239</f>
        <v>0</v>
      </c>
      <c r="I241" s="592">
        <f>I237-I239</f>
        <v>0</v>
      </c>
      <c r="J241" s="579"/>
    </row>
    <row r="242" spans="1:10">
      <c r="A242" s="576"/>
      <c r="B242" s="577"/>
      <c r="C242" s="577"/>
      <c r="D242" s="577"/>
      <c r="E242" s="616"/>
      <c r="F242" s="616"/>
      <c r="G242" s="616"/>
      <c r="H242" s="616"/>
      <c r="I242" s="616"/>
      <c r="J242" s="579"/>
    </row>
    <row r="243" spans="1:10" ht="12.75">
      <c r="A243" s="576"/>
      <c r="B243" s="577"/>
      <c r="C243" s="585" t="s">
        <v>493</v>
      </c>
      <c r="D243" s="585"/>
      <c r="E243" s="592">
        <f>E239*'3. Sources Uses'!$I$223</f>
        <v>0</v>
      </c>
      <c r="F243" s="592">
        <f>F239*'3. Sources Uses'!$I$223</f>
        <v>0</v>
      </c>
      <c r="G243" s="592">
        <f>G239*'3. Sources Uses'!$I$223</f>
        <v>0</v>
      </c>
      <c r="H243" s="592">
        <f>H239*'3. Sources Uses'!$I$223</f>
        <v>0</v>
      </c>
      <c r="I243" s="592">
        <f>I239*'3. Sources Uses'!$I$223</f>
        <v>0</v>
      </c>
      <c r="J243" s="587"/>
    </row>
    <row r="244" spans="1:10" ht="12.75">
      <c r="A244" s="584"/>
      <c r="B244" s="585"/>
      <c r="C244" s="585" t="s">
        <v>494</v>
      </c>
      <c r="D244" s="585"/>
      <c r="E244" s="592">
        <f>E237-E243</f>
        <v>0</v>
      </c>
      <c r="F244" s="592">
        <f>F237-F243</f>
        <v>0</v>
      </c>
      <c r="G244" s="592">
        <f>G237-G243</f>
        <v>0</v>
      </c>
      <c r="H244" s="592">
        <f>H237-H243</f>
        <v>0</v>
      </c>
      <c r="I244" s="592">
        <f>I237-I243</f>
        <v>0</v>
      </c>
      <c r="J244" s="587"/>
    </row>
    <row r="245" spans="1:10" ht="12.75">
      <c r="A245" s="584"/>
      <c r="B245" s="585"/>
      <c r="C245" s="585"/>
      <c r="D245" s="585"/>
      <c r="E245" s="585"/>
      <c r="F245" s="585"/>
      <c r="G245" s="585"/>
      <c r="H245" s="585"/>
      <c r="I245" s="585"/>
      <c r="J245" s="587"/>
    </row>
    <row r="246" spans="1:10">
      <c r="A246" s="576"/>
      <c r="B246" s="577"/>
      <c r="C246" s="577"/>
      <c r="D246" s="577"/>
      <c r="E246" s="577"/>
      <c r="F246" s="577"/>
      <c r="G246" s="577"/>
      <c r="H246" s="577"/>
      <c r="I246" s="577"/>
      <c r="J246" s="579"/>
    </row>
    <row r="247" spans="1:10">
      <c r="A247" s="576"/>
      <c r="B247" s="577"/>
      <c r="C247" s="577"/>
      <c r="D247" s="577"/>
      <c r="E247" s="577"/>
      <c r="F247" s="577"/>
      <c r="G247" s="577"/>
      <c r="H247" s="577"/>
      <c r="I247" s="577"/>
      <c r="J247" s="579"/>
    </row>
    <row r="248" spans="1:10" ht="12" thickBot="1">
      <c r="A248" s="598"/>
      <c r="B248" s="599"/>
      <c r="C248" s="599"/>
      <c r="D248" s="599"/>
      <c r="E248" s="599"/>
      <c r="F248" s="599"/>
      <c r="G248" s="599"/>
      <c r="H248" s="599"/>
      <c r="I248" s="599"/>
      <c r="J248" s="600"/>
    </row>
    <row r="249" spans="1:10">
      <c r="A249" s="568"/>
      <c r="B249" s="568">
        <f>PROJNAME</f>
        <v>0</v>
      </c>
      <c r="C249" s="568"/>
      <c r="D249" s="568"/>
      <c r="E249" s="568"/>
      <c r="F249" s="568"/>
      <c r="G249" s="827" t="e">
        <f>'1. Description'!$G$59</f>
        <v>#VALUE!</v>
      </c>
      <c r="H249" s="568"/>
      <c r="I249" s="828" t="e">
        <f>'1. Description'!$H$59</f>
        <v>#VALUE!</v>
      </c>
      <c r="J249" s="567"/>
    </row>
    <row r="250" spans="1:10" ht="13.5" thickBot="1">
      <c r="A250" s="359" t="str">
        <f>'2. Dev. Team'!A1</f>
        <v>One Stop2000 Affordable Housing Finance Application [Version 1.21] ©</v>
      </c>
      <c r="B250" s="567"/>
      <c r="C250" s="567"/>
      <c r="D250" s="567"/>
      <c r="E250" s="567"/>
      <c r="F250" s="567"/>
      <c r="G250" s="567"/>
      <c r="H250" s="601" t="s">
        <v>497</v>
      </c>
      <c r="I250" s="601"/>
      <c r="J250" s="601"/>
    </row>
    <row r="251" spans="1:10" ht="26.25" thickBot="1">
      <c r="A251" s="602" t="s">
        <v>498</v>
      </c>
      <c r="B251" s="603"/>
      <c r="C251" s="603"/>
      <c r="D251" s="603"/>
      <c r="E251" s="603"/>
      <c r="F251" s="603"/>
      <c r="G251" s="603"/>
      <c r="H251" s="603"/>
      <c r="I251" s="603"/>
      <c r="J251" s="604"/>
    </row>
    <row r="252" spans="1:10" s="78" customFormat="1" ht="16.5" thickTop="1" thickBot="1">
      <c r="A252" s="605" t="s">
        <v>459</v>
      </c>
      <c r="B252" s="606"/>
      <c r="C252" s="606"/>
      <c r="D252" s="606"/>
      <c r="E252" s="606"/>
      <c r="F252" s="606"/>
      <c r="G252" s="606"/>
      <c r="H252" s="606"/>
      <c r="I252" s="606"/>
      <c r="J252" s="607"/>
    </row>
    <row r="253" spans="1:10" ht="12" thickTop="1">
      <c r="A253" s="608"/>
      <c r="B253" s="609"/>
      <c r="C253" s="609"/>
      <c r="D253" s="609"/>
      <c r="E253" s="609"/>
      <c r="F253" s="609"/>
      <c r="G253" s="609"/>
      <c r="H253" s="609"/>
      <c r="I253" s="609"/>
      <c r="J253" s="610"/>
    </row>
    <row r="254" spans="1:10" ht="12.75">
      <c r="A254" s="621"/>
      <c r="B254" s="595"/>
      <c r="C254" s="595"/>
      <c r="D254" s="622"/>
      <c r="E254" s="612" t="s">
        <v>31</v>
      </c>
      <c r="F254" s="612" t="s">
        <v>32</v>
      </c>
      <c r="G254" s="612" t="s">
        <v>33</v>
      </c>
      <c r="H254" s="612" t="s">
        <v>34</v>
      </c>
      <c r="I254" s="612" t="s">
        <v>35</v>
      </c>
      <c r="J254" s="587"/>
    </row>
    <row r="255" spans="1:10" ht="13.5">
      <c r="A255" s="632"/>
      <c r="B255" s="595"/>
      <c r="C255" s="595"/>
      <c r="D255" s="595" t="s">
        <v>476</v>
      </c>
      <c r="E255" s="612" t="str">
        <f>IF(I192&gt;0,I192+1,"             N/A")</f>
        <v xml:space="preserve">             N/A</v>
      </c>
      <c r="F255" s="612" t="str">
        <f>IF(E255&gt;0,E255+1,"             N/A")</f>
        <v xml:space="preserve">             N/A</v>
      </c>
      <c r="G255" s="612" t="str">
        <f>IF(F255&gt;0,F255+1,"             N/A")</f>
        <v xml:space="preserve">             N/A</v>
      </c>
      <c r="H255" s="612" t="str">
        <f>IF(G255&gt;0,G255+1,"             N/A")</f>
        <v xml:space="preserve">             N/A</v>
      </c>
      <c r="I255" s="612" t="str">
        <f>IF(H255&gt;0,H255+1,"             N/A")</f>
        <v xml:space="preserve">             N/A</v>
      </c>
      <c r="J255" s="587"/>
    </row>
    <row r="256" spans="1:10" ht="12.75">
      <c r="A256" s="576"/>
      <c r="B256" s="593" t="s">
        <v>477</v>
      </c>
      <c r="D256" s="585"/>
      <c r="E256" s="585"/>
      <c r="F256" s="585"/>
      <c r="G256" s="585"/>
      <c r="H256" s="585"/>
      <c r="I256" s="585"/>
      <c r="J256" s="587"/>
    </row>
    <row r="257" spans="1:10" ht="12.75">
      <c r="A257" s="576"/>
      <c r="B257" s="577"/>
      <c r="C257" s="585" t="s">
        <v>478</v>
      </c>
      <c r="D257" s="585"/>
      <c r="E257" s="592">
        <f>I194*(1+'4. Operating'!$I$75)</f>
        <v>0</v>
      </c>
      <c r="F257" s="592">
        <f>E257*(1+'4. Operating'!$I$75)</f>
        <v>0</v>
      </c>
      <c r="G257" s="592">
        <f>F257*(1+'4. Operating'!$I$75)</f>
        <v>0</v>
      </c>
      <c r="H257" s="592">
        <f>G257*(1+'4. Operating'!$I$75)</f>
        <v>0</v>
      </c>
      <c r="I257" s="592">
        <f>H257*(1+'4. Operating'!$I$75)</f>
        <v>0</v>
      </c>
      <c r="J257" s="587"/>
    </row>
    <row r="258" spans="1:10" ht="12.75">
      <c r="A258" s="576"/>
      <c r="B258" s="577"/>
      <c r="C258" s="585" t="s">
        <v>479</v>
      </c>
      <c r="D258" s="585"/>
      <c r="E258" s="624">
        <f>I195*(1+'4. Operating'!$I$76)</f>
        <v>0</v>
      </c>
      <c r="F258" s="624">
        <f>E258*(1+'4. Operating'!$I$76)</f>
        <v>0</v>
      </c>
      <c r="G258" s="624">
        <f>F258*(1+'4. Operating'!$I$76)</f>
        <v>0</v>
      </c>
      <c r="H258" s="624">
        <f>G258*(1+'4. Operating'!$I$76)</f>
        <v>0</v>
      </c>
      <c r="I258" s="624">
        <f>H258*(1+'4. Operating'!$I$76)</f>
        <v>0</v>
      </c>
      <c r="J258" s="587"/>
    </row>
    <row r="259" spans="1:10" ht="12.75">
      <c r="A259" s="576"/>
      <c r="B259" s="577"/>
      <c r="C259" s="585" t="s">
        <v>480</v>
      </c>
      <c r="D259" s="585"/>
      <c r="E259" s="624">
        <f>I196*(1+'4. Operating'!$I$77)</f>
        <v>0</v>
      </c>
      <c r="F259" s="624">
        <f>E259*(1+'4. Operating'!$I$77)</f>
        <v>0</v>
      </c>
      <c r="G259" s="624">
        <f>F259*(1+'4. Operating'!$I$77)</f>
        <v>0</v>
      </c>
      <c r="H259" s="624">
        <f>G259*(1+'4. Operating'!$I$77)</f>
        <v>0</v>
      </c>
      <c r="I259" s="624">
        <f>H259*(1+'4. Operating'!$I$77)</f>
        <v>0</v>
      </c>
      <c r="J259" s="587"/>
    </row>
    <row r="260" spans="1:10" ht="12.75">
      <c r="A260" s="576"/>
      <c r="B260" s="577"/>
      <c r="C260" s="585" t="str">
        <f>"Other Income " &amp; '1. Description'!$G$65</f>
        <v>Other Income (User-defined)</v>
      </c>
      <c r="D260" s="585"/>
      <c r="E260" s="624">
        <f>I197*(1+'4. Operating'!$I$78)</f>
        <v>0</v>
      </c>
      <c r="F260" s="624">
        <f>E260*(1+'4. Operating'!$I$78)</f>
        <v>0</v>
      </c>
      <c r="G260" s="624">
        <f>F260*(1+'4. Operating'!$I$78)</f>
        <v>0</v>
      </c>
      <c r="H260" s="624">
        <f>G260*(1+'4. Operating'!$I$78)</f>
        <v>0</v>
      </c>
      <c r="I260" s="624">
        <f>H260*(1+'4. Operating'!$I$78)</f>
        <v>0</v>
      </c>
      <c r="J260" s="587"/>
    </row>
    <row r="261" spans="1:10" ht="13.5" thickBot="1">
      <c r="A261" s="576"/>
      <c r="B261" s="577"/>
      <c r="C261" s="585" t="s">
        <v>1434</v>
      </c>
      <c r="D261" s="585"/>
      <c r="E261" s="625">
        <f>I198*(1+'4. Operating'!$I$79)</f>
        <v>0</v>
      </c>
      <c r="F261" s="625">
        <f>E261*(1+'4. Operating'!$I$79)</f>
        <v>0</v>
      </c>
      <c r="G261" s="625">
        <f>F261*(1+'4. Operating'!$I$79)</f>
        <v>0</v>
      </c>
      <c r="H261" s="625">
        <f>G261*(1+'4. Operating'!$I$79)</f>
        <v>0</v>
      </c>
      <c r="I261" s="625">
        <f>H261*(1+'4. Operating'!$I$79)</f>
        <v>0</v>
      </c>
      <c r="J261" s="587"/>
    </row>
    <row r="262" spans="1:10" ht="13.5" thickTop="1">
      <c r="A262" s="576"/>
      <c r="B262" s="577"/>
      <c r="C262" s="595" t="s">
        <v>481</v>
      </c>
      <c r="D262" s="585"/>
      <c r="E262" s="624">
        <f>SUM(E257:E261)</f>
        <v>0</v>
      </c>
      <c r="F262" s="624">
        <f>SUM(F257:F261)</f>
        <v>0</v>
      </c>
      <c r="G262" s="624">
        <f>SUM(G257:G261)</f>
        <v>0</v>
      </c>
      <c r="H262" s="624">
        <f>SUM(H257:H261)</f>
        <v>0</v>
      </c>
      <c r="I262" s="624">
        <f>SUM(I257:I261)</f>
        <v>0</v>
      </c>
      <c r="J262" s="587"/>
    </row>
    <row r="263" spans="1:10" ht="13.5" thickBot="1">
      <c r="A263" s="576"/>
      <c r="B263" s="577"/>
      <c r="C263" s="585" t="s">
        <v>482</v>
      </c>
      <c r="D263" s="585"/>
      <c r="E263" s="624">
        <f>IF($E$138&gt;0,($E$139/$E$138)*E262,0)</f>
        <v>0</v>
      </c>
      <c r="F263" s="624">
        <f>IF($E$138&gt;0,($E$139/$E$138)*F262,0)</f>
        <v>0</v>
      </c>
      <c r="G263" s="624">
        <f>IF($E$138&gt;0,($E$139/$E$138)*G262,0)</f>
        <v>0</v>
      </c>
      <c r="H263" s="624">
        <f>IF($E$138&gt;0,($E$139/$E$138)*H262,0)</f>
        <v>0</v>
      </c>
      <c r="I263" s="624">
        <f>IF($E$138&gt;0,($E$139/$E$138)*I262,0)</f>
        <v>0</v>
      </c>
      <c r="J263" s="587"/>
    </row>
    <row r="264" spans="1:10" ht="13.5" thickTop="1">
      <c r="A264" s="576"/>
      <c r="B264" s="577"/>
      <c r="C264" s="595" t="s">
        <v>483</v>
      </c>
      <c r="D264" s="585"/>
      <c r="E264" s="626">
        <f>E262-E263</f>
        <v>0</v>
      </c>
      <c r="F264" s="626">
        <f>F262-F263</f>
        <v>0</v>
      </c>
      <c r="G264" s="626">
        <f>G262-G263</f>
        <v>0</v>
      </c>
      <c r="H264" s="626">
        <f>H262-H263</f>
        <v>0</v>
      </c>
      <c r="I264" s="626">
        <f>I262-I263</f>
        <v>0</v>
      </c>
      <c r="J264" s="587"/>
    </row>
    <row r="265" spans="1:10" ht="12.75">
      <c r="A265" s="576"/>
      <c r="B265" s="577"/>
      <c r="C265" s="585" t="s">
        <v>146</v>
      </c>
      <c r="D265" s="585"/>
      <c r="E265" s="624">
        <f>I202*(1+'4. Operating'!$I$80)</f>
        <v>0</v>
      </c>
      <c r="F265" s="624">
        <f>E265*(1+'4. Operating'!$I$80)</f>
        <v>0</v>
      </c>
      <c r="G265" s="624">
        <f>F265*(1+'4. Operating'!$I$80)</f>
        <v>0</v>
      </c>
      <c r="H265" s="624">
        <f>G265*(1+'4. Operating'!$I$80)</f>
        <v>0</v>
      </c>
      <c r="I265" s="624">
        <f>H265*(1+'4. Operating'!$I$80)</f>
        <v>0</v>
      </c>
      <c r="J265" s="587"/>
    </row>
    <row r="266" spans="1:10" ht="12.75">
      <c r="A266" s="576"/>
      <c r="B266" s="577"/>
      <c r="C266" s="585" t="s">
        <v>482</v>
      </c>
      <c r="D266" s="585"/>
      <c r="E266" s="624">
        <f>E265*'4. Operating'!$F$72</f>
        <v>0</v>
      </c>
      <c r="F266" s="624">
        <f>F265*'4. Operating'!$F$72</f>
        <v>0</v>
      </c>
      <c r="G266" s="624">
        <f>G265*'4. Operating'!$F$72</f>
        <v>0</v>
      </c>
      <c r="H266" s="624">
        <f>H265*'4. Operating'!$F$72</f>
        <v>0</v>
      </c>
      <c r="I266" s="624">
        <f>I265*'4. Operating'!$F$72</f>
        <v>0</v>
      </c>
      <c r="J266" s="587"/>
    </row>
    <row r="267" spans="1:10" ht="13.5" thickBot="1">
      <c r="A267" s="576"/>
      <c r="B267" s="577"/>
      <c r="C267" s="585" t="s">
        <v>484</v>
      </c>
      <c r="D267" s="585"/>
      <c r="E267" s="624">
        <f>E265-E266</f>
        <v>0</v>
      </c>
      <c r="F267" s="624">
        <f>F265-F266</f>
        <v>0</v>
      </c>
      <c r="G267" s="624">
        <f>G265-G266</f>
        <v>0</v>
      </c>
      <c r="H267" s="624">
        <f>H265-H266</f>
        <v>0</v>
      </c>
      <c r="I267" s="624">
        <f>I265-I266</f>
        <v>0</v>
      </c>
      <c r="J267" s="587"/>
    </row>
    <row r="268" spans="1:10" ht="13.5" thickTop="1">
      <c r="A268" s="576"/>
      <c r="B268" s="577"/>
      <c r="C268" s="595" t="s">
        <v>485</v>
      </c>
      <c r="D268" s="585"/>
      <c r="E268" s="626">
        <f>E264+E267</f>
        <v>0</v>
      </c>
      <c r="F268" s="626">
        <f>F264+F267</f>
        <v>0</v>
      </c>
      <c r="G268" s="626">
        <f>G264+G267</f>
        <v>0</v>
      </c>
      <c r="H268" s="626">
        <f>H264+H267</f>
        <v>0</v>
      </c>
      <c r="I268" s="626">
        <f>I264+I267</f>
        <v>0</v>
      </c>
      <c r="J268" s="587"/>
    </row>
    <row r="269" spans="1:10" ht="12.75">
      <c r="A269" s="576"/>
      <c r="B269" s="577"/>
      <c r="C269" s="585" t="s">
        <v>147</v>
      </c>
      <c r="D269" s="585"/>
      <c r="E269" s="624">
        <f>I206*(1+'4. Operating'!$I81)</f>
        <v>0</v>
      </c>
      <c r="F269" s="624">
        <f>E269*(1+'4. Operating'!$I81)</f>
        <v>0</v>
      </c>
      <c r="G269" s="624">
        <f>F269*(1+'4. Operating'!$I81)</f>
        <v>0</v>
      </c>
      <c r="H269" s="624">
        <f>G269*(1+'4. Operating'!$I81)</f>
        <v>0</v>
      </c>
      <c r="I269" s="624">
        <f>H269*(1+'4. Operating'!$I81)</f>
        <v>0</v>
      </c>
      <c r="J269" s="587"/>
    </row>
    <row r="270" spans="1:10" ht="12.75">
      <c r="A270" s="576"/>
      <c r="B270" s="577"/>
      <c r="C270" s="585" t="s">
        <v>1061</v>
      </c>
      <c r="D270" s="585">
        <f>'4. Operating'!D59</f>
        <v>0</v>
      </c>
      <c r="E270" s="624">
        <f>I207*(1+'4. Operating'!$I82)</f>
        <v>0</v>
      </c>
      <c r="F270" s="624">
        <f>E270*(1+'4. Operating'!$I82)</f>
        <v>0</v>
      </c>
      <c r="G270" s="624">
        <f>F270*(1+'4. Operating'!$I82)</f>
        <v>0</v>
      </c>
      <c r="H270" s="624">
        <f>G270*(1+'4. Operating'!$I82)</f>
        <v>0</v>
      </c>
      <c r="I270" s="624">
        <f>H270*(1+'4. Operating'!$I82)</f>
        <v>0</v>
      </c>
      <c r="J270" s="587"/>
    </row>
    <row r="271" spans="1:10" ht="12.75">
      <c r="A271" s="576"/>
      <c r="B271" s="577"/>
      <c r="C271" s="585" t="s">
        <v>1061</v>
      </c>
      <c r="D271" s="585">
        <f>'4. Operating'!D60</f>
        <v>0</v>
      </c>
      <c r="E271" s="624">
        <f>I208*(1+'4. Operating'!$I83)</f>
        <v>0</v>
      </c>
      <c r="F271" s="624">
        <f>E271*(1+'4. Operating'!$I83)</f>
        <v>0</v>
      </c>
      <c r="G271" s="624">
        <f>F271*(1+'4. Operating'!$I83)</f>
        <v>0</v>
      </c>
      <c r="H271" s="624">
        <f>G271*(1+'4. Operating'!$I83)</f>
        <v>0</v>
      </c>
      <c r="I271" s="624">
        <f>H271*(1+'4. Operating'!$I83)</f>
        <v>0</v>
      </c>
      <c r="J271" s="587"/>
    </row>
    <row r="272" spans="1:10" ht="12.75">
      <c r="A272" s="576"/>
      <c r="B272" s="577"/>
      <c r="C272" s="585" t="s">
        <v>1061</v>
      </c>
      <c r="D272" s="585">
        <f>'4. Operating'!D61</f>
        <v>0</v>
      </c>
      <c r="E272" s="624">
        <f>I209*(1+'4. Operating'!$I84)</f>
        <v>0</v>
      </c>
      <c r="F272" s="624">
        <f>E272*(1+'4. Operating'!$I84)</f>
        <v>0</v>
      </c>
      <c r="G272" s="624">
        <f>F272*(1+'4. Operating'!$I84)</f>
        <v>0</v>
      </c>
      <c r="H272" s="624">
        <f>G272*(1+'4. Operating'!$I84)</f>
        <v>0</v>
      </c>
      <c r="I272" s="624">
        <f>H272*(1+'4. Operating'!$I84)</f>
        <v>0</v>
      </c>
      <c r="J272" s="587"/>
    </row>
    <row r="273" spans="1:10" ht="12.75">
      <c r="A273" s="576"/>
      <c r="B273" s="577"/>
      <c r="C273" s="585" t="s">
        <v>1061</v>
      </c>
      <c r="D273" s="585">
        <f>'4. Operating'!D62</f>
        <v>0</v>
      </c>
      <c r="E273" s="624">
        <f>I210*(1+'4. Operating'!$I85)</f>
        <v>0</v>
      </c>
      <c r="F273" s="624">
        <f>E273*(1+'4. Operating'!$I85)</f>
        <v>0</v>
      </c>
      <c r="G273" s="624">
        <f>F273*(1+'4. Operating'!$I85)</f>
        <v>0</v>
      </c>
      <c r="H273" s="624">
        <f>G273*(1+'4. Operating'!$I85)</f>
        <v>0</v>
      </c>
      <c r="I273" s="624">
        <f>H273*(1+'4. Operating'!$I85)</f>
        <v>0</v>
      </c>
      <c r="J273" s="587"/>
    </row>
    <row r="274" spans="1:10" ht="12.75">
      <c r="A274" s="576"/>
      <c r="B274" s="577"/>
      <c r="C274" s="585" t="s">
        <v>1061</v>
      </c>
      <c r="D274" s="585">
        <f>'4. Operating'!D63</f>
        <v>0</v>
      </c>
      <c r="E274" s="624">
        <f>I211*(1+'4. Operating'!$I86)</f>
        <v>0</v>
      </c>
      <c r="F274" s="624">
        <f>E274*(1+'4. Operating'!$I86)</f>
        <v>0</v>
      </c>
      <c r="G274" s="624">
        <f>F274*(1+'4. Operating'!$I86)</f>
        <v>0</v>
      </c>
      <c r="H274" s="624">
        <f>G274*(1+'4. Operating'!$I86)</f>
        <v>0</v>
      </c>
      <c r="I274" s="624">
        <f>H274*(1+'4. Operating'!$I86)</f>
        <v>0</v>
      </c>
      <c r="J274" s="587"/>
    </row>
    <row r="275" spans="1:10" ht="13.5" thickBot="1">
      <c r="A275" s="576"/>
      <c r="B275" s="577"/>
      <c r="C275" s="585" t="s">
        <v>1061</v>
      </c>
      <c r="D275" s="585">
        <f>'4. Operating'!D64</f>
        <v>0</v>
      </c>
      <c r="E275" s="624">
        <f>I212*(1+'4. Operating'!$I87)</f>
        <v>0</v>
      </c>
      <c r="F275" s="624">
        <f>E275*(1+'4. Operating'!$I87)</f>
        <v>0</v>
      </c>
      <c r="G275" s="624">
        <f>F275*(1+'4. Operating'!$I87)</f>
        <v>0</v>
      </c>
      <c r="H275" s="624">
        <f>G275*(1+'4. Operating'!$I87)</f>
        <v>0</v>
      </c>
      <c r="I275" s="624">
        <f>H275*(1+'4. Operating'!$I87)</f>
        <v>0</v>
      </c>
      <c r="J275" s="587"/>
    </row>
    <row r="276" spans="1:10" ht="13.5" thickTop="1">
      <c r="A276" s="576"/>
      <c r="B276" s="577"/>
      <c r="C276" s="595" t="s">
        <v>486</v>
      </c>
      <c r="D276" s="585"/>
      <c r="E276" s="626">
        <f>SUM(E268:E275)</f>
        <v>0</v>
      </c>
      <c r="F276" s="626">
        <f>SUM(F268:F275)</f>
        <v>0</v>
      </c>
      <c r="G276" s="626">
        <f>SUM(G268:G275)</f>
        <v>0</v>
      </c>
      <c r="H276" s="626">
        <f>SUM(H268:H275)</f>
        <v>0</v>
      </c>
      <c r="I276" s="626">
        <f>SUM(I268:I275)</f>
        <v>0</v>
      </c>
      <c r="J276" s="587"/>
    </row>
    <row r="277" spans="1:10" ht="12.75">
      <c r="A277" s="576"/>
      <c r="B277" s="577"/>
      <c r="C277" s="585" t="s">
        <v>446</v>
      </c>
      <c r="D277" s="585"/>
      <c r="E277" s="624">
        <f>'4. Operating'!$E107+'4. Operating'!$F107</f>
        <v>0</v>
      </c>
      <c r="F277" s="624">
        <f>'4. Operating'!$E108+'4. Operating'!$F108</f>
        <v>0</v>
      </c>
      <c r="G277" s="624">
        <f>'4. Operating'!$E109+'4. Operating'!$F109</f>
        <v>0</v>
      </c>
      <c r="H277" s="624">
        <f>'4. Operating'!$E110+'4. Operating'!$F110</f>
        <v>0</v>
      </c>
      <c r="I277" s="624">
        <f>'4. Operating'!$E111+'4. Operating'!$F111</f>
        <v>0</v>
      </c>
      <c r="J277" s="587"/>
    </row>
    <row r="278" spans="1:10" ht="13.5" thickBot="1">
      <c r="A278" s="576"/>
      <c r="B278" s="577"/>
      <c r="C278" s="585" t="s">
        <v>448</v>
      </c>
      <c r="D278" s="585"/>
      <c r="E278" s="624">
        <f>'4. Operating'!$H107+0</f>
        <v>0</v>
      </c>
      <c r="F278" s="624">
        <f>'4. Operating'!$H108+0</f>
        <v>0</v>
      </c>
      <c r="G278" s="624">
        <f>'4. Operating'!$H109+0</f>
        <v>0</v>
      </c>
      <c r="H278" s="624">
        <f>'4. Operating'!$H110+0</f>
        <v>0</v>
      </c>
      <c r="I278" s="624">
        <f>'4. Operating'!$H111+0</f>
        <v>0</v>
      </c>
      <c r="J278" s="587"/>
    </row>
    <row r="279" spans="1:10" ht="13.5" thickTop="1">
      <c r="A279" s="576"/>
      <c r="B279" s="577"/>
      <c r="C279" s="595" t="s">
        <v>487</v>
      </c>
      <c r="D279" s="585"/>
      <c r="E279" s="627">
        <f>E276+E277+E278</f>
        <v>0</v>
      </c>
      <c r="F279" s="627">
        <f>F276+F277+F278</f>
        <v>0</v>
      </c>
      <c r="G279" s="627">
        <f>G276+G277+G278</f>
        <v>0</v>
      </c>
      <c r="H279" s="627">
        <f>H276+H277+H278</f>
        <v>0</v>
      </c>
      <c r="I279" s="627">
        <f>I276+I277+I278</f>
        <v>0</v>
      </c>
      <c r="J279" s="579"/>
    </row>
    <row r="280" spans="1:10">
      <c r="A280" s="576"/>
      <c r="B280" s="577"/>
      <c r="C280" s="577"/>
      <c r="D280" s="577"/>
      <c r="E280" s="577"/>
      <c r="F280" s="577"/>
      <c r="G280" s="577"/>
      <c r="H280" s="577"/>
      <c r="I280" s="577"/>
      <c r="J280" s="579"/>
    </row>
    <row r="281" spans="1:10" ht="12.75">
      <c r="A281" s="576"/>
      <c r="B281" s="593" t="s">
        <v>488</v>
      </c>
      <c r="C281" s="577"/>
      <c r="D281" s="585"/>
      <c r="E281" s="585"/>
      <c r="F281" s="585"/>
      <c r="G281" s="585"/>
      <c r="H281" s="585"/>
      <c r="I281" s="585"/>
      <c r="J281" s="587"/>
    </row>
    <row r="282" spans="1:10" ht="12.75">
      <c r="A282" s="576"/>
      <c r="B282" s="577"/>
      <c r="C282" s="585" t="s">
        <v>53</v>
      </c>
      <c r="D282" s="585"/>
      <c r="E282" s="624">
        <f>($E$158/$E$155)*E279</f>
        <v>0</v>
      </c>
      <c r="F282" s="624">
        <f>($E$158/$E$155)*F279</f>
        <v>0</v>
      </c>
      <c r="G282" s="624">
        <f>($E$158/$E$155)*G279</f>
        <v>0</v>
      </c>
      <c r="H282" s="624">
        <f>($E$158/$E$155)*H279</f>
        <v>0</v>
      </c>
      <c r="I282" s="624">
        <f>($E$158/$E$155)*I279</f>
        <v>0</v>
      </c>
      <c r="J282" s="587"/>
    </row>
    <row r="283" spans="1:10" ht="12.75">
      <c r="A283" s="576"/>
      <c r="B283" s="577"/>
      <c r="C283" s="585" t="s">
        <v>442</v>
      </c>
      <c r="D283" s="585"/>
      <c r="E283" s="624">
        <f>I220*(1+'4. Operating'!$I$186)</f>
        <v>0</v>
      </c>
      <c r="F283" s="624">
        <f>E283*(1+'4. Operating'!$I$186)</f>
        <v>0</v>
      </c>
      <c r="G283" s="624">
        <f>F283*(1+'4. Operating'!$I$186)</f>
        <v>0</v>
      </c>
      <c r="H283" s="624">
        <f>G283*(1+'4. Operating'!$I$186)</f>
        <v>0</v>
      </c>
      <c r="I283" s="624">
        <f>H283*(1+'4. Operating'!$I$186)</f>
        <v>0</v>
      </c>
      <c r="J283" s="587"/>
    </row>
    <row r="284" spans="1:10" ht="12.75">
      <c r="A284" s="576"/>
      <c r="B284" s="577"/>
      <c r="C284" s="585" t="s">
        <v>444</v>
      </c>
      <c r="D284" s="585"/>
      <c r="E284" s="624">
        <f>I221*(1+'4. Operating'!$I$186)</f>
        <v>0</v>
      </c>
      <c r="F284" s="624">
        <f>E284*(1+'4. Operating'!$I$186)</f>
        <v>0</v>
      </c>
      <c r="G284" s="624">
        <f>F284*(1+'4. Operating'!$I$186)</f>
        <v>0</v>
      </c>
      <c r="H284" s="624">
        <f>G284*(1+'4. Operating'!$I$186)</f>
        <v>0</v>
      </c>
      <c r="I284" s="624">
        <f>H284*(1+'4. Operating'!$I$186)</f>
        <v>0</v>
      </c>
      <c r="J284" s="587"/>
    </row>
    <row r="285" spans="1:10" ht="12.75">
      <c r="A285" s="576"/>
      <c r="B285" s="577"/>
      <c r="C285" s="585" t="s">
        <v>76</v>
      </c>
      <c r="D285" s="585"/>
      <c r="E285" s="624">
        <f>I222*(1+'4. Operating'!$I$186)</f>
        <v>0</v>
      </c>
      <c r="F285" s="624">
        <f>E285*(1+'4. Operating'!$I$186)</f>
        <v>0</v>
      </c>
      <c r="G285" s="624">
        <f>F285*(1+'4. Operating'!$I$186)</f>
        <v>0</v>
      </c>
      <c r="H285" s="624">
        <f>G285*(1+'4. Operating'!$I$186)</f>
        <v>0</v>
      </c>
      <c r="I285" s="624">
        <f>H285*(1+'4. Operating'!$I$186)</f>
        <v>0</v>
      </c>
      <c r="J285" s="587"/>
    </row>
    <row r="286" spans="1:10" ht="12.75">
      <c r="A286" s="576"/>
      <c r="B286" s="577"/>
      <c r="C286" s="585" t="s">
        <v>1294</v>
      </c>
      <c r="D286" s="585"/>
      <c r="E286" s="624">
        <f>I223*(1+'4. Operating'!$I$186)</f>
        <v>0</v>
      </c>
      <c r="F286" s="624">
        <f>E286*(1+'4. Operating'!$I$186)</f>
        <v>0</v>
      </c>
      <c r="G286" s="624">
        <f>F286*(1+'4. Operating'!$I$186)</f>
        <v>0</v>
      </c>
      <c r="H286" s="624">
        <f>G286*(1+'4. Operating'!$I$186)</f>
        <v>0</v>
      </c>
      <c r="I286" s="624">
        <f>H286*(1+'4. Operating'!$I$186)</f>
        <v>0</v>
      </c>
      <c r="J286" s="587"/>
    </row>
    <row r="287" spans="1:10" ht="12.75">
      <c r="A287" s="576"/>
      <c r="B287" s="577"/>
      <c r="C287" s="585" t="s">
        <v>1244</v>
      </c>
      <c r="D287" s="585"/>
      <c r="E287" s="624">
        <f>I224*(1+'4. Operating'!$I$186)</f>
        <v>0</v>
      </c>
      <c r="F287" s="624">
        <f>E287*(1+'4. Operating'!$I$186)</f>
        <v>0</v>
      </c>
      <c r="G287" s="624">
        <f>F287*(1+'4. Operating'!$I$186)</f>
        <v>0</v>
      </c>
      <c r="H287" s="624">
        <f>G287*(1+'4. Operating'!$I$186)</f>
        <v>0</v>
      </c>
      <c r="I287" s="624">
        <f>H287*(1+'4. Operating'!$I$186)</f>
        <v>0</v>
      </c>
      <c r="J287" s="587"/>
    </row>
    <row r="288" spans="1:10" ht="12.75">
      <c r="A288" s="576"/>
      <c r="B288" s="577"/>
      <c r="C288" s="585" t="s">
        <v>78</v>
      </c>
      <c r="D288" s="585"/>
      <c r="E288" s="624">
        <f>I225*(1+'4. Operating'!$I$186)</f>
        <v>0</v>
      </c>
      <c r="F288" s="624">
        <f>E288*(1+'4. Operating'!$I$186)</f>
        <v>0</v>
      </c>
      <c r="G288" s="624">
        <f>F288*(1+'4. Operating'!$I$186)</f>
        <v>0</v>
      </c>
      <c r="H288" s="624">
        <f>G288*(1+'4. Operating'!$I$186)</f>
        <v>0</v>
      </c>
      <c r="I288" s="624">
        <f>H288*(1+'4. Operating'!$I$186)</f>
        <v>0</v>
      </c>
      <c r="J288" s="587"/>
    </row>
    <row r="289" spans="1:10" ht="12.75">
      <c r="A289" s="576"/>
      <c r="B289" s="577"/>
      <c r="C289" s="585" t="s">
        <v>489</v>
      </c>
      <c r="D289" s="585"/>
      <c r="E289" s="624">
        <f>I226*(1+'4. Operating'!$I$186)</f>
        <v>0</v>
      </c>
      <c r="F289" s="624">
        <f>E289*(1+'4. Operating'!$I$186)</f>
        <v>0</v>
      </c>
      <c r="G289" s="624">
        <f>F289*(1+'4. Operating'!$I$186)</f>
        <v>0</v>
      </c>
      <c r="H289" s="624">
        <f>G289*(1+'4. Operating'!$I$186)</f>
        <v>0</v>
      </c>
      <c r="I289" s="624">
        <f>H289*(1+'4. Operating'!$I$186)</f>
        <v>0</v>
      </c>
      <c r="J289" s="587"/>
    </row>
    <row r="290" spans="1:10" ht="12.75">
      <c r="A290" s="576"/>
      <c r="B290" s="577"/>
      <c r="C290" s="585" t="s">
        <v>79</v>
      </c>
      <c r="D290" s="585"/>
      <c r="E290" s="624">
        <f>I227*(1+'4. Operating'!$I$184)</f>
        <v>0</v>
      </c>
      <c r="F290" s="624">
        <f>E290*(1+'4. Operating'!$I$184)</f>
        <v>0</v>
      </c>
      <c r="G290" s="624">
        <f>F290*(1+'4. Operating'!$I$184)</f>
        <v>0</v>
      </c>
      <c r="H290" s="624">
        <f>G290*(1+'4. Operating'!$I$184)</f>
        <v>0</v>
      </c>
      <c r="I290" s="624">
        <f>H290*(1+'4. Operating'!$I$184)</f>
        <v>0</v>
      </c>
      <c r="J290" s="587"/>
    </row>
    <row r="291" spans="1:10" ht="12.75">
      <c r="A291" s="576"/>
      <c r="B291" s="577"/>
      <c r="C291" s="585" t="s">
        <v>81</v>
      </c>
      <c r="D291" s="585"/>
      <c r="E291" s="624">
        <f>I228*(1+'4. Operating'!$I$186)</f>
        <v>0</v>
      </c>
      <c r="F291" s="624">
        <f>E291*(1+'4. Operating'!$I$186)</f>
        <v>0</v>
      </c>
      <c r="G291" s="624">
        <f>F291*(1+'4. Operating'!$I$186)</f>
        <v>0</v>
      </c>
      <c r="H291" s="624">
        <f>G291*(1+'4. Operating'!$I$186)</f>
        <v>0</v>
      </c>
      <c r="I291" s="624">
        <f>H291*(1+'4. Operating'!$I$186)</f>
        <v>0</v>
      </c>
      <c r="J291" s="587"/>
    </row>
    <row r="292" spans="1:10" ht="12.75">
      <c r="A292" s="576"/>
      <c r="B292" s="577"/>
      <c r="C292" s="585" t="s">
        <v>82</v>
      </c>
      <c r="D292" s="585"/>
      <c r="E292" s="624">
        <f>I229*(1+'4. Operating'!$I$186)</f>
        <v>0</v>
      </c>
      <c r="F292" s="624">
        <f>E292*(1+'4. Operating'!$I$186)</f>
        <v>0</v>
      </c>
      <c r="G292" s="624">
        <f>F292*(1+'4. Operating'!$I$186)</f>
        <v>0</v>
      </c>
      <c r="H292" s="624">
        <f>G292*(1+'4. Operating'!$I$186)</f>
        <v>0</v>
      </c>
      <c r="I292" s="624">
        <f>H292*(1+'4. Operating'!$I$186)</f>
        <v>0</v>
      </c>
      <c r="J292" s="587"/>
    </row>
    <row r="293" spans="1:10" ht="12.75">
      <c r="A293" s="576"/>
      <c r="B293" s="577"/>
      <c r="C293" s="585" t="s">
        <v>1290</v>
      </c>
      <c r="D293" s="585"/>
      <c r="E293" s="624">
        <f>I230*(1+'4. Operating'!$I$185)</f>
        <v>0</v>
      </c>
      <c r="F293" s="624">
        <f>E293*(1+'4. Operating'!$I$185)</f>
        <v>0</v>
      </c>
      <c r="G293" s="624">
        <f>F293*(1+'4. Operating'!$I$185)</f>
        <v>0</v>
      </c>
      <c r="H293" s="624">
        <f>G293*(1+'4. Operating'!$I$185)</f>
        <v>0</v>
      </c>
      <c r="I293" s="624">
        <f>H293*(1+'4. Operating'!$I$185)</f>
        <v>0</v>
      </c>
      <c r="J293" s="587"/>
    </row>
    <row r="294" spans="1:10" ht="12.75">
      <c r="A294" s="576"/>
      <c r="B294" s="577"/>
      <c r="C294" s="585" t="s">
        <v>83</v>
      </c>
      <c r="D294" s="585"/>
      <c r="E294" s="624">
        <f>I231*(1+'4. Operating'!$I$186)</f>
        <v>0</v>
      </c>
      <c r="F294" s="624">
        <f>E294*(1+'4. Operating'!$I$186)</f>
        <v>0</v>
      </c>
      <c r="G294" s="624">
        <f>F294*(1+'4. Operating'!$I$186)</f>
        <v>0</v>
      </c>
      <c r="H294" s="624">
        <f>G294*(1+'4. Operating'!$I$186)</f>
        <v>0</v>
      </c>
      <c r="I294" s="624">
        <f>H294*(1+'4. Operating'!$I$186)</f>
        <v>0</v>
      </c>
      <c r="J294" s="587"/>
    </row>
    <row r="295" spans="1:10" ht="12.75">
      <c r="A295" s="576"/>
      <c r="B295" s="577"/>
      <c r="C295" s="585" t="s">
        <v>1291</v>
      </c>
      <c r="D295" s="585"/>
      <c r="E295" s="624">
        <f>I232*(1+'4. Operating'!$I$186)</f>
        <v>0</v>
      </c>
      <c r="F295" s="624">
        <f>E295*(1+'4. Operating'!$I$186)</f>
        <v>0</v>
      </c>
      <c r="G295" s="624">
        <f>F295*(1+'4. Operating'!$I$186)</f>
        <v>0</v>
      </c>
      <c r="H295" s="624">
        <f>G295*(1+'4. Operating'!$I$186)</f>
        <v>0</v>
      </c>
      <c r="I295" s="624">
        <f>H295*(1+'4. Operating'!$I$186)</f>
        <v>0</v>
      </c>
      <c r="J295" s="587"/>
    </row>
    <row r="296" spans="1:10" ht="12.75">
      <c r="A296" s="576"/>
      <c r="B296" s="577"/>
      <c r="C296" s="585" t="str">
        <f>C172</f>
        <v>MIP</v>
      </c>
      <c r="D296" s="585"/>
      <c r="E296" s="624">
        <f>'3. Sources Uses'!V28+'3. Sources Uses'!AH28+'3. Sources Uses'!AT28+'3. Sources Uses'!BG28+'3. Sources Uses'!BT28</f>
        <v>0</v>
      </c>
      <c r="F296" s="624">
        <f>'3. Sources Uses'!V29+'3. Sources Uses'!AH29+'3. Sources Uses'!AT29+'3. Sources Uses'!BG29+'3. Sources Uses'!BT29</f>
        <v>0</v>
      </c>
      <c r="G296" s="624">
        <f>'3. Sources Uses'!V30+'3. Sources Uses'!AH30+'3. Sources Uses'!AT30+'3. Sources Uses'!BG30+'3. Sources Uses'!BT30</f>
        <v>0</v>
      </c>
      <c r="H296" s="624">
        <f>'3. Sources Uses'!V31+'3. Sources Uses'!AH31+'3. Sources Uses'!AT31+'3. Sources Uses'!BG31+'3. Sources Uses'!BT31</f>
        <v>0</v>
      </c>
      <c r="I296" s="624">
        <f>'3. Sources Uses'!V32+'3. Sources Uses'!AH32+'3. Sources Uses'!AT32+'3. Sources Uses'!BG32+'3. Sources Uses'!BT32</f>
        <v>0</v>
      </c>
      <c r="J296" s="587"/>
    </row>
    <row r="297" spans="1:10" ht="13.5" thickBot="1">
      <c r="A297" s="576"/>
      <c r="B297" s="577"/>
      <c r="C297" s="585" t="str">
        <f>'4. Operating'!C175:D175</f>
        <v>Other:</v>
      </c>
      <c r="D297" s="585"/>
      <c r="E297" s="624">
        <f>I234*(1+'4. Operating'!$I$186)</f>
        <v>0</v>
      </c>
      <c r="F297" s="624">
        <f>E297*(1+'4. Operating'!$I$186)</f>
        <v>0</v>
      </c>
      <c r="G297" s="624">
        <f>F297*(1+'4. Operating'!$I$186)</f>
        <v>0</v>
      </c>
      <c r="H297" s="624">
        <f>G297*(1+'4. Operating'!$I$186)</f>
        <v>0</v>
      </c>
      <c r="I297" s="624">
        <f>H297*(1+'4. Operating'!$I$186)</f>
        <v>0</v>
      </c>
      <c r="J297" s="587"/>
    </row>
    <row r="298" spans="1:10" ht="13.5" thickTop="1">
      <c r="A298" s="576"/>
      <c r="B298" s="577"/>
      <c r="C298" s="595" t="s">
        <v>490</v>
      </c>
      <c r="D298" s="585"/>
      <c r="E298" s="627">
        <f>SUM(E282:E297)</f>
        <v>0</v>
      </c>
      <c r="F298" s="627">
        <f>SUM(F282:F297)</f>
        <v>0</v>
      </c>
      <c r="G298" s="627">
        <f>SUM(G282:G297)</f>
        <v>0</v>
      </c>
      <c r="H298" s="627">
        <f>SUM(H282:H297)</f>
        <v>0</v>
      </c>
      <c r="I298" s="627">
        <f>SUM(I282:I297)</f>
        <v>0</v>
      </c>
      <c r="J298" s="579"/>
    </row>
    <row r="299" spans="1:10">
      <c r="A299" s="576"/>
      <c r="B299" s="577"/>
      <c r="C299" s="577"/>
      <c r="D299" s="577"/>
      <c r="E299" s="616"/>
      <c r="F299" s="616"/>
      <c r="G299" s="616"/>
      <c r="H299" s="616"/>
      <c r="I299" s="616"/>
      <c r="J299" s="579"/>
    </row>
    <row r="300" spans="1:10" ht="12.75">
      <c r="A300" s="576"/>
      <c r="B300" s="593" t="s">
        <v>491</v>
      </c>
      <c r="C300" s="577"/>
      <c r="D300" s="585"/>
      <c r="E300" s="592">
        <f>E279-E298</f>
        <v>0</v>
      </c>
      <c r="F300" s="592">
        <f>F279-F298</f>
        <v>0</v>
      </c>
      <c r="G300" s="592">
        <f>G279-G298</f>
        <v>0</v>
      </c>
      <c r="H300" s="592">
        <f>H279-H298</f>
        <v>0</v>
      </c>
      <c r="I300" s="592">
        <f>I279-I298</f>
        <v>0</v>
      </c>
      <c r="J300" s="587"/>
    </row>
    <row r="301" spans="1:10">
      <c r="A301" s="576"/>
      <c r="B301" s="577"/>
      <c r="C301" s="577"/>
      <c r="D301" s="577"/>
      <c r="E301" s="616"/>
      <c r="F301" s="616"/>
      <c r="G301" s="616"/>
      <c r="H301" s="616"/>
      <c r="I301" s="616"/>
      <c r="J301" s="579"/>
    </row>
    <row r="302" spans="1:10" ht="12.75">
      <c r="A302" s="576"/>
      <c r="B302" s="577"/>
      <c r="C302" s="585" t="s">
        <v>453</v>
      </c>
      <c r="D302" s="585"/>
      <c r="E302" s="592">
        <f>'3. Sources Uses'!W28+'3. Sources Uses'!AI28+'3. Sources Uses'!AU28+'3. Sources Uses'!BH28+'3. Sources Uses'!BU28</f>
        <v>0</v>
      </c>
      <c r="F302" s="592">
        <f>'3. Sources Uses'!W$29+'3. Sources Uses'!AI29+'3. Sources Uses'!AU29+'3. Sources Uses'!BH29+'3. Sources Uses'!BU29</f>
        <v>0</v>
      </c>
      <c r="G302" s="592">
        <f>'3. Sources Uses'!W30+'3. Sources Uses'!AI30+'3. Sources Uses'!AU30+'3. Sources Uses'!BH30+'3. Sources Uses'!BU30</f>
        <v>0</v>
      </c>
      <c r="H302" s="592">
        <f>'3. Sources Uses'!W31+'3. Sources Uses'!AI31+'3. Sources Uses'!AU31+'3. Sources Uses'!BH31+'3. Sources Uses'!BU31</f>
        <v>0</v>
      </c>
      <c r="I302" s="592">
        <f>'3. Sources Uses'!W32+'3. Sources Uses'!AI32+'3. Sources Uses'!AU32+'3. Sources Uses'!BH32+'3. Sources Uses'!BU32</f>
        <v>0</v>
      </c>
      <c r="J302" s="587"/>
    </row>
    <row r="303" spans="1:10" ht="12.75">
      <c r="A303" s="576"/>
      <c r="B303" s="577"/>
      <c r="C303" s="595" t="s">
        <v>454</v>
      </c>
      <c r="D303" s="585"/>
      <c r="E303" s="628" t="str">
        <f>IF(E302&gt;0,E300/E302,"               N/A")</f>
        <v xml:space="preserve">               N/A</v>
      </c>
      <c r="F303" s="628" t="str">
        <f>IF(F302&gt;0,F300/F302,"               N/A")</f>
        <v xml:space="preserve">               N/A</v>
      </c>
      <c r="G303" s="628" t="str">
        <f>IF(G302&gt;0,G300/G302,"               N/A")</f>
        <v xml:space="preserve">               N/A</v>
      </c>
      <c r="H303" s="628" t="str">
        <f>IF(H302&gt;0,H300/H302,"               N/A")</f>
        <v xml:space="preserve">               N/A</v>
      </c>
      <c r="I303" s="628" t="str">
        <f>IF(I302&gt;0,I300/I302,"               N/A")</f>
        <v xml:space="preserve">               N/A</v>
      </c>
      <c r="J303" s="587"/>
    </row>
    <row r="304" spans="1:10" ht="12.75">
      <c r="A304" s="576"/>
      <c r="B304" s="577"/>
      <c r="C304" s="585" t="s">
        <v>492</v>
      </c>
      <c r="D304" s="585"/>
      <c r="E304" s="592">
        <f>E300-E302</f>
        <v>0</v>
      </c>
      <c r="F304" s="592">
        <f>F300-F302</f>
        <v>0</v>
      </c>
      <c r="G304" s="592">
        <f>G300-G302</f>
        <v>0</v>
      </c>
      <c r="H304" s="592">
        <f>H300-H302</f>
        <v>0</v>
      </c>
      <c r="I304" s="592">
        <f>I300-I302</f>
        <v>0</v>
      </c>
      <c r="J304" s="579"/>
    </row>
    <row r="305" spans="1:10">
      <c r="A305" s="576"/>
      <c r="B305" s="577"/>
      <c r="C305" s="577"/>
      <c r="D305" s="577"/>
      <c r="E305" s="616"/>
      <c r="F305" s="616"/>
      <c r="G305" s="616"/>
      <c r="H305" s="616"/>
      <c r="I305" s="616"/>
      <c r="J305" s="579"/>
    </row>
    <row r="306" spans="1:10" ht="12.75">
      <c r="A306" s="576"/>
      <c r="B306" s="577"/>
      <c r="C306" s="585" t="s">
        <v>493</v>
      </c>
      <c r="D306" s="585"/>
      <c r="E306" s="592">
        <f>E302*'3. Sources Uses'!$I$223</f>
        <v>0</v>
      </c>
      <c r="F306" s="592">
        <f>F302*'3. Sources Uses'!$I$223</f>
        <v>0</v>
      </c>
      <c r="G306" s="592">
        <f>G302*'3. Sources Uses'!$I$223</f>
        <v>0</v>
      </c>
      <c r="H306" s="592">
        <f>H302*'3. Sources Uses'!$I$223</f>
        <v>0</v>
      </c>
      <c r="I306" s="592">
        <f>I302*'3. Sources Uses'!$I$223</f>
        <v>0</v>
      </c>
      <c r="J306" s="587"/>
    </row>
    <row r="307" spans="1:10" ht="12.75">
      <c r="A307" s="584"/>
      <c r="B307" s="585"/>
      <c r="C307" s="585" t="s">
        <v>494</v>
      </c>
      <c r="D307" s="585"/>
      <c r="E307" s="592">
        <f>E300-E306</f>
        <v>0</v>
      </c>
      <c r="F307" s="592">
        <f>F300-F306</f>
        <v>0</v>
      </c>
      <c r="G307" s="592">
        <f>G300-G306</f>
        <v>0</v>
      </c>
      <c r="H307" s="592">
        <f>H300-H306</f>
        <v>0</v>
      </c>
      <c r="I307" s="592">
        <f>I300-I306</f>
        <v>0</v>
      </c>
      <c r="J307" s="579"/>
    </row>
    <row r="308" spans="1:10">
      <c r="A308" s="576"/>
      <c r="B308" s="577"/>
      <c r="C308" s="577"/>
      <c r="D308" s="577"/>
      <c r="E308" s="577"/>
      <c r="F308" s="577"/>
      <c r="G308" s="577"/>
      <c r="H308" s="577"/>
      <c r="I308" s="577"/>
      <c r="J308" s="579"/>
    </row>
    <row r="309" spans="1:10">
      <c r="A309" s="576"/>
      <c r="B309" s="577"/>
      <c r="C309" s="577"/>
      <c r="D309" s="577"/>
      <c r="E309" s="577"/>
      <c r="F309" s="577"/>
      <c r="G309" s="577"/>
      <c r="H309" s="577"/>
      <c r="I309" s="577"/>
      <c r="J309" s="579"/>
    </row>
    <row r="310" spans="1:10">
      <c r="A310" s="576"/>
      <c r="B310" s="577"/>
      <c r="C310" s="577"/>
      <c r="D310" s="577"/>
      <c r="E310" s="577"/>
      <c r="F310" s="577"/>
      <c r="G310" s="577"/>
      <c r="H310" s="577"/>
      <c r="I310" s="577"/>
      <c r="J310" s="579"/>
    </row>
    <row r="311" spans="1:10" ht="12" thickBot="1">
      <c r="A311" s="598"/>
      <c r="B311" s="599"/>
      <c r="C311" s="599"/>
      <c r="D311" s="599"/>
      <c r="E311" s="599"/>
      <c r="F311" s="599"/>
      <c r="G311" s="599"/>
      <c r="H311" s="599"/>
      <c r="I311" s="599"/>
      <c r="J311" s="600"/>
    </row>
    <row r="312" spans="1:10">
      <c r="A312" s="568"/>
      <c r="B312" s="568">
        <f>PROJNAME</f>
        <v>0</v>
      </c>
      <c r="C312" s="568"/>
      <c r="D312" s="568"/>
      <c r="E312" s="568"/>
      <c r="F312" s="568"/>
      <c r="G312" s="827" t="e">
        <f>'1. Description'!$G$59</f>
        <v>#VALUE!</v>
      </c>
      <c r="H312" s="568"/>
      <c r="I312" s="828" t="e">
        <f>'1. Description'!$H$59</f>
        <v>#VALUE!</v>
      </c>
      <c r="J312" s="567"/>
    </row>
    <row r="313" spans="1:10" ht="13.5" thickBot="1">
      <c r="A313" s="359" t="str">
        <f>'2. Dev. Team'!A1</f>
        <v>One Stop2000 Affordable Housing Finance Application [Version 1.21] ©</v>
      </c>
      <c r="B313" s="567"/>
      <c r="C313" s="567"/>
      <c r="D313" s="567"/>
      <c r="E313" s="567"/>
      <c r="F313" s="567"/>
      <c r="G313" s="567"/>
      <c r="H313" s="601" t="s">
        <v>499</v>
      </c>
      <c r="I313" s="601"/>
      <c r="J313" s="601"/>
    </row>
    <row r="314" spans="1:10" ht="26.25" thickBot="1">
      <c r="A314" s="602" t="s">
        <v>500</v>
      </c>
      <c r="B314" s="603"/>
      <c r="C314" s="603"/>
      <c r="D314" s="603"/>
      <c r="E314" s="603"/>
      <c r="F314" s="603"/>
      <c r="G314" s="603"/>
      <c r="H314" s="603"/>
      <c r="I314" s="603"/>
      <c r="J314" s="604"/>
    </row>
    <row r="315" spans="1:10" s="78" customFormat="1" ht="16.5" thickTop="1" thickBot="1">
      <c r="A315" s="605" t="s">
        <v>459</v>
      </c>
      <c r="B315" s="606"/>
      <c r="C315" s="606"/>
      <c r="D315" s="606"/>
      <c r="E315" s="606"/>
      <c r="F315" s="606"/>
      <c r="G315" s="606"/>
      <c r="H315" s="606"/>
      <c r="I315" s="606"/>
      <c r="J315" s="607"/>
    </row>
    <row r="316" spans="1:10" ht="12" thickTop="1">
      <c r="A316" s="608"/>
      <c r="B316" s="609"/>
      <c r="C316" s="609"/>
      <c r="D316" s="609"/>
      <c r="E316" s="609"/>
      <c r="F316" s="609"/>
      <c r="G316" s="609"/>
      <c r="H316" s="609"/>
      <c r="I316" s="609"/>
      <c r="J316" s="610"/>
    </row>
    <row r="317" spans="1:10" ht="12.75">
      <c r="A317" s="621"/>
      <c r="B317" s="595"/>
      <c r="C317" s="595"/>
      <c r="D317" s="612" t="s">
        <v>36</v>
      </c>
      <c r="E317" s="612" t="s">
        <v>37</v>
      </c>
      <c r="F317" s="612" t="s">
        <v>38</v>
      </c>
      <c r="G317" s="612" t="s">
        <v>39</v>
      </c>
      <c r="H317" s="612" t="s">
        <v>40</v>
      </c>
      <c r="I317" s="612" t="s">
        <v>41</v>
      </c>
      <c r="J317" s="587"/>
    </row>
    <row r="318" spans="1:10" ht="13.5">
      <c r="A318" s="632"/>
      <c r="B318" s="595"/>
      <c r="C318" s="595" t="s">
        <v>476</v>
      </c>
      <c r="D318" s="612" t="str">
        <f>IF(I255&gt;0,I255+1,"             N/A")</f>
        <v xml:space="preserve">             N/A</v>
      </c>
      <c r="E318" s="612" t="str">
        <f>IF(D318&gt;0,D318+1,"             N/A")</f>
        <v xml:space="preserve">             N/A</v>
      </c>
      <c r="F318" s="612" t="str">
        <f>IF(E318&gt;0,E318+1,"             N/A")</f>
        <v xml:space="preserve">             N/A</v>
      </c>
      <c r="G318" s="612" t="str">
        <f>IF(F318&gt;0,F318+1,"             N/A")</f>
        <v xml:space="preserve">             N/A</v>
      </c>
      <c r="H318" s="612" t="str">
        <f>IF(G318&gt;0,G318+1,"             N/A")</f>
        <v xml:space="preserve">             N/A</v>
      </c>
      <c r="I318" s="612" t="str">
        <f>IF(H318&gt;0,H318+1,"             N/A")</f>
        <v xml:space="preserve">             N/A</v>
      </c>
      <c r="J318" s="587"/>
    </row>
    <row r="319" spans="1:10" ht="12.75">
      <c r="A319" s="633" t="s">
        <v>477</v>
      </c>
      <c r="B319" s="577"/>
      <c r="C319" s="577"/>
      <c r="D319" s="585"/>
      <c r="E319" s="585"/>
      <c r="F319" s="585"/>
      <c r="G319" s="585"/>
      <c r="H319" s="585"/>
      <c r="I319" s="585"/>
      <c r="J319" s="587"/>
    </row>
    <row r="320" spans="1:10" ht="12.75">
      <c r="A320" s="584" t="s">
        <v>501</v>
      </c>
      <c r="B320" s="577"/>
      <c r="C320" s="577"/>
      <c r="D320" s="592">
        <f>I257*(1+'4. Operating'!$I$75)</f>
        <v>0</v>
      </c>
      <c r="E320" s="592">
        <f>D320*(1+'4. Operating'!$I$75)</f>
        <v>0</v>
      </c>
      <c r="F320" s="592">
        <f>E320*(1+'4. Operating'!$I$75)</f>
        <v>0</v>
      </c>
      <c r="G320" s="592">
        <f>F320*(1+'4. Operating'!$I$75)</f>
        <v>0</v>
      </c>
      <c r="H320" s="592">
        <f>G320*(1+'4. Operating'!$I$75)</f>
        <v>0</v>
      </c>
      <c r="I320" s="592">
        <f>H320*(1+'4. Operating'!$I$75)</f>
        <v>0</v>
      </c>
      <c r="J320" s="587"/>
    </row>
    <row r="321" spans="1:10" ht="12.75">
      <c r="A321" s="584" t="s">
        <v>479</v>
      </c>
      <c r="B321" s="577"/>
      <c r="C321" s="577"/>
      <c r="D321" s="624">
        <f>I258*(1+'4. Operating'!$I$76)</f>
        <v>0</v>
      </c>
      <c r="E321" s="624">
        <f>D321*(1+'4. Operating'!$I$76)</f>
        <v>0</v>
      </c>
      <c r="F321" s="624">
        <f>E321*(1+'4. Operating'!$I$76)</f>
        <v>0</v>
      </c>
      <c r="G321" s="624">
        <f>F321*(1+'4. Operating'!$I$76)</f>
        <v>0</v>
      </c>
      <c r="H321" s="624">
        <f>G321*(1+'4. Operating'!$I$76)</f>
        <v>0</v>
      </c>
      <c r="I321" s="624">
        <f>H321*(1+'4. Operating'!$I$76)</f>
        <v>0</v>
      </c>
      <c r="J321" s="587"/>
    </row>
    <row r="322" spans="1:10" ht="12.75">
      <c r="A322" s="584" t="s">
        <v>480</v>
      </c>
      <c r="B322" s="577"/>
      <c r="C322" s="577"/>
      <c r="D322" s="624">
        <f>I259*(1+'4. Operating'!$I$77)</f>
        <v>0</v>
      </c>
      <c r="E322" s="624">
        <f>D322*(1+'4. Operating'!$I$77)</f>
        <v>0</v>
      </c>
      <c r="F322" s="624">
        <f>E322*(1+'4. Operating'!$I$77)</f>
        <v>0</v>
      </c>
      <c r="G322" s="624">
        <f>F322*(1+'4. Operating'!$I$77)</f>
        <v>0</v>
      </c>
      <c r="H322" s="624">
        <f>G322*(1+'4. Operating'!$I$77)</f>
        <v>0</v>
      </c>
      <c r="I322" s="624">
        <f>H322*(1+'4. Operating'!$I$77)</f>
        <v>0</v>
      </c>
      <c r="J322" s="587"/>
    </row>
    <row r="323" spans="1:10" ht="12.75">
      <c r="A323" s="584" t="str">
        <f>"Other Income " &amp; '1. Description'!$G$65</f>
        <v>Other Income (User-defined)</v>
      </c>
      <c r="B323" s="577"/>
      <c r="C323" s="585"/>
      <c r="D323" s="624">
        <f>I260*(1+'4. Operating'!$I$78)</f>
        <v>0</v>
      </c>
      <c r="E323" s="624">
        <f>D323*(1+'4. Operating'!$I$78)</f>
        <v>0</v>
      </c>
      <c r="F323" s="624">
        <f>E323*(1+'4. Operating'!$I$78)</f>
        <v>0</v>
      </c>
      <c r="G323" s="624">
        <f>F323*(1+'4. Operating'!$I$78)</f>
        <v>0</v>
      </c>
      <c r="H323" s="624">
        <f>G323*(1+'4. Operating'!$I$78)</f>
        <v>0</v>
      </c>
      <c r="I323" s="624">
        <f>H323*(1+'4. Operating'!$I$78)</f>
        <v>0</v>
      </c>
      <c r="J323" s="587"/>
    </row>
    <row r="324" spans="1:10" ht="13.5" thickBot="1">
      <c r="A324" s="584" t="s">
        <v>1434</v>
      </c>
      <c r="B324" s="577"/>
      <c r="C324" s="577"/>
      <c r="D324" s="625">
        <f>I261*(1+'4. Operating'!$I$79)</f>
        <v>0</v>
      </c>
      <c r="E324" s="625">
        <f>D324*(1+'4. Operating'!$I$79)</f>
        <v>0</v>
      </c>
      <c r="F324" s="625">
        <f>E324*(1+'4. Operating'!$I$79)</f>
        <v>0</v>
      </c>
      <c r="G324" s="625">
        <f>F324*(1+'4. Operating'!$I$79)</f>
        <v>0</v>
      </c>
      <c r="H324" s="625">
        <f>G324*(1+'4. Operating'!$I$79)</f>
        <v>0</v>
      </c>
      <c r="I324" s="624">
        <f>H324*(1+'4. Operating'!$I$79)</f>
        <v>0</v>
      </c>
      <c r="J324" s="587"/>
    </row>
    <row r="325" spans="1:10" ht="13.5" thickTop="1">
      <c r="A325" s="621" t="s">
        <v>481</v>
      </c>
      <c r="B325" s="577"/>
      <c r="C325" s="577"/>
      <c r="D325" s="624">
        <f t="shared" ref="D325:I325" si="5">SUM(D320:D324)</f>
        <v>0</v>
      </c>
      <c r="E325" s="624">
        <f t="shared" si="5"/>
        <v>0</v>
      </c>
      <c r="F325" s="624">
        <f t="shared" si="5"/>
        <v>0</v>
      </c>
      <c r="G325" s="624">
        <f t="shared" si="5"/>
        <v>0</v>
      </c>
      <c r="H325" s="624">
        <f t="shared" si="5"/>
        <v>0</v>
      </c>
      <c r="I325" s="626">
        <f t="shared" si="5"/>
        <v>0</v>
      </c>
      <c r="J325" s="587"/>
    </row>
    <row r="326" spans="1:10" ht="13.5" thickBot="1">
      <c r="A326" s="584" t="s">
        <v>482</v>
      </c>
      <c r="B326" s="577"/>
      <c r="C326" s="577"/>
      <c r="D326" s="624">
        <f t="shared" ref="D326:I326" si="6">IF($E$138&gt;0,($E$139/$E$138)*D325,0)</f>
        <v>0</v>
      </c>
      <c r="E326" s="624">
        <f t="shared" si="6"/>
        <v>0</v>
      </c>
      <c r="F326" s="624">
        <f t="shared" si="6"/>
        <v>0</v>
      </c>
      <c r="G326" s="624">
        <f t="shared" si="6"/>
        <v>0</v>
      </c>
      <c r="H326" s="624">
        <f t="shared" si="6"/>
        <v>0</v>
      </c>
      <c r="I326" s="624">
        <f t="shared" si="6"/>
        <v>0</v>
      </c>
      <c r="J326" s="587"/>
    </row>
    <row r="327" spans="1:10" ht="13.5" thickTop="1">
      <c r="A327" s="621" t="s">
        <v>502</v>
      </c>
      <c r="B327" s="577"/>
      <c r="C327" s="577"/>
      <c r="D327" s="626">
        <f t="shared" ref="D327:I327" si="7">D325-D326</f>
        <v>0</v>
      </c>
      <c r="E327" s="626">
        <f t="shared" si="7"/>
        <v>0</v>
      </c>
      <c r="F327" s="626">
        <f t="shared" si="7"/>
        <v>0</v>
      </c>
      <c r="G327" s="626">
        <f t="shared" si="7"/>
        <v>0</v>
      </c>
      <c r="H327" s="626">
        <f t="shared" si="7"/>
        <v>0</v>
      </c>
      <c r="I327" s="626">
        <f t="shared" si="7"/>
        <v>0</v>
      </c>
      <c r="J327" s="587"/>
    </row>
    <row r="328" spans="1:10" ht="12.75">
      <c r="A328" s="584" t="s">
        <v>503</v>
      </c>
      <c r="B328" s="577"/>
      <c r="C328" s="577"/>
      <c r="D328" s="624">
        <f>I265*(1+'4. Operating'!$I$80)</f>
        <v>0</v>
      </c>
      <c r="E328" s="624">
        <f>D328*(1+'4. Operating'!$I$80)</f>
        <v>0</v>
      </c>
      <c r="F328" s="624">
        <f>E328*(1+'4. Operating'!$I$80)</f>
        <v>0</v>
      </c>
      <c r="G328" s="624">
        <f>F328*(1+'4. Operating'!$I$80)</f>
        <v>0</v>
      </c>
      <c r="H328" s="624">
        <f>G328*(1+'4. Operating'!$I$80)</f>
        <v>0</v>
      </c>
      <c r="I328" s="624">
        <f>H328*(1+'4. Operating'!$I$80)</f>
        <v>0</v>
      </c>
      <c r="J328" s="587"/>
    </row>
    <row r="329" spans="1:10" ht="12.75">
      <c r="A329" s="584" t="s">
        <v>482</v>
      </c>
      <c r="B329" s="577"/>
      <c r="C329" s="577"/>
      <c r="D329" s="624">
        <f>D328*'4. Operating'!$F$72</f>
        <v>0</v>
      </c>
      <c r="E329" s="624">
        <f>E328*'4. Operating'!$F$72</f>
        <v>0</v>
      </c>
      <c r="F329" s="624">
        <f>F328*'4. Operating'!$F$72</f>
        <v>0</v>
      </c>
      <c r="G329" s="624">
        <f>G328*'4. Operating'!$F$72</f>
        <v>0</v>
      </c>
      <c r="H329" s="624">
        <f>H328*'4. Operating'!$F$72</f>
        <v>0</v>
      </c>
      <c r="I329" s="624">
        <f>I328*'4. Operating'!$F$72</f>
        <v>0</v>
      </c>
      <c r="J329" s="587"/>
    </row>
    <row r="330" spans="1:10" ht="13.5" thickBot="1">
      <c r="A330" s="584" t="s">
        <v>484</v>
      </c>
      <c r="B330" s="577"/>
      <c r="C330" s="577"/>
      <c r="D330" s="624">
        <f t="shared" ref="D330:I330" si="8">D328-D329</f>
        <v>0</v>
      </c>
      <c r="E330" s="624">
        <f t="shared" si="8"/>
        <v>0</v>
      </c>
      <c r="F330" s="624">
        <f t="shared" si="8"/>
        <v>0</v>
      </c>
      <c r="G330" s="624">
        <f t="shared" si="8"/>
        <v>0</v>
      </c>
      <c r="H330" s="624">
        <f t="shared" si="8"/>
        <v>0</v>
      </c>
      <c r="I330" s="624">
        <f t="shared" si="8"/>
        <v>0</v>
      </c>
      <c r="J330" s="587"/>
    </row>
    <row r="331" spans="1:10" ht="13.5" thickTop="1">
      <c r="A331" s="621" t="s">
        <v>485</v>
      </c>
      <c r="B331" s="577"/>
      <c r="C331" s="577"/>
      <c r="D331" s="626">
        <f t="shared" ref="D331:I331" si="9">D327+D330</f>
        <v>0</v>
      </c>
      <c r="E331" s="626">
        <f t="shared" si="9"/>
        <v>0</v>
      </c>
      <c r="F331" s="626">
        <f t="shared" si="9"/>
        <v>0</v>
      </c>
      <c r="G331" s="626">
        <f t="shared" si="9"/>
        <v>0</v>
      </c>
      <c r="H331" s="626">
        <f t="shared" si="9"/>
        <v>0</v>
      </c>
      <c r="I331" s="626">
        <f t="shared" si="9"/>
        <v>0</v>
      </c>
      <c r="J331" s="587"/>
    </row>
    <row r="332" spans="1:10" ht="12.75">
      <c r="A332" s="584" t="s">
        <v>147</v>
      </c>
      <c r="B332" s="577"/>
      <c r="C332" s="577"/>
      <c r="D332" s="624">
        <f>I269*(1+'4. Operating'!$I81)</f>
        <v>0</v>
      </c>
      <c r="E332" s="624">
        <f>D332*(1+'4. Operating'!$I81)</f>
        <v>0</v>
      </c>
      <c r="F332" s="624">
        <f>E332*(1+'4. Operating'!$I81)</f>
        <v>0</v>
      </c>
      <c r="G332" s="624">
        <f>F332*(1+'4. Operating'!$I81)</f>
        <v>0</v>
      </c>
      <c r="H332" s="624">
        <f>G332*(1+'4. Operating'!$I81)</f>
        <v>0</v>
      </c>
      <c r="I332" s="624">
        <f>H332*(1+'4. Operating'!$I81)</f>
        <v>0</v>
      </c>
      <c r="J332" s="587"/>
    </row>
    <row r="333" spans="1:10" ht="12.75">
      <c r="A333" s="584" t="s">
        <v>1061</v>
      </c>
      <c r="B333" s="577"/>
      <c r="C333" s="634">
        <f>'4. Operating'!D59</f>
        <v>0</v>
      </c>
      <c r="D333" s="624">
        <f>I270*(1+'4. Operating'!$I82)</f>
        <v>0</v>
      </c>
      <c r="E333" s="624">
        <f>D333*(1+'4. Operating'!$I82)</f>
        <v>0</v>
      </c>
      <c r="F333" s="624">
        <f>E333*(1+'4. Operating'!$I82)</f>
        <v>0</v>
      </c>
      <c r="G333" s="624">
        <f>F333*(1+'4. Operating'!$I82)</f>
        <v>0</v>
      </c>
      <c r="H333" s="624">
        <f>G333*(1+'4. Operating'!$I82)</f>
        <v>0</v>
      </c>
      <c r="I333" s="624">
        <f>H333*(1+'4. Operating'!$I82)</f>
        <v>0</v>
      </c>
      <c r="J333" s="587"/>
    </row>
    <row r="334" spans="1:10" ht="12.75">
      <c r="A334" s="584" t="s">
        <v>140</v>
      </c>
      <c r="B334" s="577"/>
      <c r="C334" s="634">
        <f>'4. Operating'!D60</f>
        <v>0</v>
      </c>
      <c r="D334" s="624">
        <f>I271*(1+'4. Operating'!$I83)</f>
        <v>0</v>
      </c>
      <c r="E334" s="624">
        <f>D334*(1+'4. Operating'!$I83)</f>
        <v>0</v>
      </c>
      <c r="F334" s="624">
        <f>E334*(1+'4. Operating'!$I83)</f>
        <v>0</v>
      </c>
      <c r="G334" s="624">
        <f>F334*(1+'4. Operating'!$I83)</f>
        <v>0</v>
      </c>
      <c r="H334" s="624">
        <f>G334*(1+'4. Operating'!$I83)</f>
        <v>0</v>
      </c>
      <c r="I334" s="624">
        <f>H334*(1+'4. Operating'!$I83)</f>
        <v>0</v>
      </c>
      <c r="J334" s="587"/>
    </row>
    <row r="335" spans="1:10" ht="12.75">
      <c r="A335" s="584" t="s">
        <v>141</v>
      </c>
      <c r="B335" s="577"/>
      <c r="C335" s="634">
        <f>'4. Operating'!D61</f>
        <v>0</v>
      </c>
      <c r="D335" s="624">
        <f>I272*(1+'4. Operating'!$I84)</f>
        <v>0</v>
      </c>
      <c r="E335" s="624">
        <f>D335*(1+'4. Operating'!$I84)</f>
        <v>0</v>
      </c>
      <c r="F335" s="624">
        <f>E335*(1+'4. Operating'!$I84)</f>
        <v>0</v>
      </c>
      <c r="G335" s="624">
        <f>F335*(1+'4. Operating'!$I84)</f>
        <v>0</v>
      </c>
      <c r="H335" s="624">
        <f>G335*(1+'4. Operating'!$I84)</f>
        <v>0</v>
      </c>
      <c r="I335" s="624">
        <f>H335*(1+'4. Operating'!$I84)</f>
        <v>0</v>
      </c>
      <c r="J335" s="587"/>
    </row>
    <row r="336" spans="1:10" ht="12.75">
      <c r="A336" s="584" t="s">
        <v>142</v>
      </c>
      <c r="B336" s="577"/>
      <c r="C336" s="634">
        <f>'4. Operating'!D62</f>
        <v>0</v>
      </c>
      <c r="D336" s="624">
        <f>I273*(1+'4. Operating'!$I85)</f>
        <v>0</v>
      </c>
      <c r="E336" s="624">
        <f>D336*(1+'4. Operating'!$I85)</f>
        <v>0</v>
      </c>
      <c r="F336" s="624">
        <f>E336*(1+'4. Operating'!$I85)</f>
        <v>0</v>
      </c>
      <c r="G336" s="624">
        <f>F336*(1+'4. Operating'!$I85)</f>
        <v>0</v>
      </c>
      <c r="H336" s="624">
        <f>G336*(1+'4. Operating'!$I85)</f>
        <v>0</v>
      </c>
      <c r="I336" s="624">
        <f>H336*(1+'4. Operating'!$I85)</f>
        <v>0</v>
      </c>
      <c r="J336" s="587"/>
    </row>
    <row r="337" spans="1:10" ht="12.75">
      <c r="A337" s="584" t="s">
        <v>143</v>
      </c>
      <c r="B337" s="577"/>
      <c r="C337" s="634">
        <f>'4. Operating'!D63</f>
        <v>0</v>
      </c>
      <c r="D337" s="624">
        <f>I274*(1+'4. Operating'!$I86)</f>
        <v>0</v>
      </c>
      <c r="E337" s="624">
        <f>D337*(1+'4. Operating'!$I86)</f>
        <v>0</v>
      </c>
      <c r="F337" s="624">
        <f>E337*(1+'4. Operating'!$I86)</f>
        <v>0</v>
      </c>
      <c r="G337" s="624">
        <f>F337*(1+'4. Operating'!$I86)</f>
        <v>0</v>
      </c>
      <c r="H337" s="624">
        <f>G337*(1+'4. Operating'!$I86)</f>
        <v>0</v>
      </c>
      <c r="I337" s="624">
        <f>H337*(1+'4. Operating'!$I86)</f>
        <v>0</v>
      </c>
      <c r="J337" s="587"/>
    </row>
    <row r="338" spans="1:10" ht="13.5" thickBot="1">
      <c r="A338" s="584" t="s">
        <v>144</v>
      </c>
      <c r="B338" s="577"/>
      <c r="C338" s="634">
        <f>'4. Operating'!D64</f>
        <v>0</v>
      </c>
      <c r="D338" s="624">
        <f>I275*(1+'4. Operating'!$I87)</f>
        <v>0</v>
      </c>
      <c r="E338" s="624">
        <f>D338*(1+'4. Operating'!$I87)</f>
        <v>0</v>
      </c>
      <c r="F338" s="624">
        <f>E338*(1+'4. Operating'!$I87)</f>
        <v>0</v>
      </c>
      <c r="G338" s="624">
        <f>F338*(1+'4. Operating'!$I87)</f>
        <v>0</v>
      </c>
      <c r="H338" s="624">
        <f>G338*(1+'4. Operating'!$I87)</f>
        <v>0</v>
      </c>
      <c r="I338" s="624">
        <f>H338*(1+'4. Operating'!$I87)</f>
        <v>0</v>
      </c>
      <c r="J338" s="587"/>
    </row>
    <row r="339" spans="1:10" ht="13.5" thickTop="1">
      <c r="A339" s="621" t="s">
        <v>486</v>
      </c>
      <c r="B339" s="577"/>
      <c r="C339" s="577"/>
      <c r="D339" s="626">
        <f t="shared" ref="D339:I339" si="10">SUM(D331:D338)</f>
        <v>0</v>
      </c>
      <c r="E339" s="626">
        <f t="shared" si="10"/>
        <v>0</v>
      </c>
      <c r="F339" s="626">
        <f t="shared" si="10"/>
        <v>0</v>
      </c>
      <c r="G339" s="626">
        <f t="shared" si="10"/>
        <v>0</v>
      </c>
      <c r="H339" s="626">
        <f t="shared" si="10"/>
        <v>0</v>
      </c>
      <c r="I339" s="626">
        <f t="shared" si="10"/>
        <v>0</v>
      </c>
      <c r="J339" s="587"/>
    </row>
    <row r="340" spans="1:10" ht="12.75">
      <c r="A340" s="584" t="s">
        <v>446</v>
      </c>
      <c r="B340" s="577"/>
      <c r="C340" s="577"/>
      <c r="D340" s="624">
        <f>'4. Operating'!$E112+'4. Operating'!$F112</f>
        <v>0</v>
      </c>
      <c r="E340" s="624">
        <f>'4. Operating'!$E113+'4. Operating'!$F113</f>
        <v>0</v>
      </c>
      <c r="F340" s="624">
        <f>'4. Operating'!$E114+'4. Operating'!$F114</f>
        <v>0</v>
      </c>
      <c r="G340" s="624">
        <f>'4. Operating'!$E115+'4. Operating'!$F115</f>
        <v>0</v>
      </c>
      <c r="H340" s="624">
        <f>'4. Operating'!$E116+'4. Operating'!$F116</f>
        <v>0</v>
      </c>
      <c r="I340" s="624">
        <f>'4. Operating'!$E117+'4. Operating'!$F117</f>
        <v>0</v>
      </c>
      <c r="J340" s="587"/>
    </row>
    <row r="341" spans="1:10" ht="13.5" thickBot="1">
      <c r="A341" s="584" t="s">
        <v>504</v>
      </c>
      <c r="B341" s="577"/>
      <c r="C341" s="577"/>
      <c r="D341" s="624">
        <f>'4. Operating'!$H112+0</f>
        <v>0</v>
      </c>
      <c r="E341" s="624">
        <f>'4. Operating'!$H113+0</f>
        <v>0</v>
      </c>
      <c r="F341" s="624">
        <f>'4. Operating'!$H114+0</f>
        <v>0</v>
      </c>
      <c r="G341" s="624">
        <f>'4. Operating'!$H115+0</f>
        <v>0</v>
      </c>
      <c r="H341" s="624">
        <f>'4. Operating'!$H116+0</f>
        <v>0</v>
      </c>
      <c r="I341" s="624">
        <f>'4. Operating'!$H117+0</f>
        <v>0</v>
      </c>
      <c r="J341" s="587"/>
    </row>
    <row r="342" spans="1:10" ht="13.5" thickTop="1">
      <c r="A342" s="621" t="s">
        <v>487</v>
      </c>
      <c r="B342" s="577"/>
      <c r="C342" s="577"/>
      <c r="D342" s="627">
        <f t="shared" ref="D342:I342" si="11">D339+D340+D341</f>
        <v>0</v>
      </c>
      <c r="E342" s="627">
        <f t="shared" si="11"/>
        <v>0</v>
      </c>
      <c r="F342" s="627">
        <f t="shared" si="11"/>
        <v>0</v>
      </c>
      <c r="G342" s="627">
        <f t="shared" si="11"/>
        <v>0</v>
      </c>
      <c r="H342" s="627">
        <f t="shared" si="11"/>
        <v>0</v>
      </c>
      <c r="I342" s="627">
        <f t="shared" si="11"/>
        <v>0</v>
      </c>
      <c r="J342" s="579"/>
    </row>
    <row r="343" spans="1:10" ht="12.75">
      <c r="A343" s="576"/>
      <c r="B343" s="577"/>
      <c r="C343" s="577"/>
      <c r="D343" s="577"/>
      <c r="E343" s="577"/>
      <c r="F343" s="577"/>
      <c r="G343" s="577"/>
      <c r="H343" s="577"/>
      <c r="I343" s="577"/>
      <c r="J343" s="587"/>
    </row>
    <row r="344" spans="1:10" ht="12.75">
      <c r="A344" s="633" t="s">
        <v>488</v>
      </c>
      <c r="B344" s="577"/>
      <c r="C344" s="577"/>
      <c r="D344" s="585"/>
      <c r="E344" s="585"/>
      <c r="F344" s="585"/>
      <c r="G344" s="585"/>
      <c r="H344" s="585"/>
      <c r="I344" s="585"/>
      <c r="J344" s="587"/>
    </row>
    <row r="345" spans="1:10" ht="12.75">
      <c r="A345" s="584" t="s">
        <v>53</v>
      </c>
      <c r="B345" s="577"/>
      <c r="C345" s="577"/>
      <c r="D345" s="624">
        <f t="shared" ref="D345:I345" si="12">($E$158/$E$155)*D342</f>
        <v>0</v>
      </c>
      <c r="E345" s="624">
        <f t="shared" si="12"/>
        <v>0</v>
      </c>
      <c r="F345" s="624">
        <f t="shared" si="12"/>
        <v>0</v>
      </c>
      <c r="G345" s="624">
        <f t="shared" si="12"/>
        <v>0</v>
      </c>
      <c r="H345" s="624">
        <f t="shared" si="12"/>
        <v>0</v>
      </c>
      <c r="I345" s="624">
        <f t="shared" si="12"/>
        <v>0</v>
      </c>
      <c r="J345" s="587"/>
    </row>
    <row r="346" spans="1:10" ht="12.75">
      <c r="A346" s="584" t="s">
        <v>442</v>
      </c>
      <c r="B346" s="577"/>
      <c r="C346" s="577"/>
      <c r="D346" s="624">
        <f>I283*(1+'4. Operating'!$I$186)</f>
        <v>0</v>
      </c>
      <c r="E346" s="624">
        <f>D346*(1+'4. Operating'!$I$186)</f>
        <v>0</v>
      </c>
      <c r="F346" s="624">
        <f>E346*(1+'4. Operating'!$I$186)</f>
        <v>0</v>
      </c>
      <c r="G346" s="624">
        <f>F346*(1+'4. Operating'!$I$186)</f>
        <v>0</v>
      </c>
      <c r="H346" s="624">
        <f>G346*(1+'4. Operating'!$I$186)</f>
        <v>0</v>
      </c>
      <c r="I346" s="624">
        <f>H346*(1+'4. Operating'!$I$186)</f>
        <v>0</v>
      </c>
      <c r="J346" s="587"/>
    </row>
    <row r="347" spans="1:10" ht="12.75">
      <c r="A347" s="584" t="s">
        <v>444</v>
      </c>
      <c r="B347" s="577"/>
      <c r="C347" s="577"/>
      <c r="D347" s="624">
        <f>I284*(1+'4. Operating'!$I$186)</f>
        <v>0</v>
      </c>
      <c r="E347" s="624">
        <f>D347*(1+'4. Operating'!$I$186)</f>
        <v>0</v>
      </c>
      <c r="F347" s="624">
        <f>E347*(1+'4. Operating'!$I$186)</f>
        <v>0</v>
      </c>
      <c r="G347" s="624">
        <f>F347*(1+'4. Operating'!$I$186)</f>
        <v>0</v>
      </c>
      <c r="H347" s="624">
        <f>G347*(1+'4. Operating'!$I$186)</f>
        <v>0</v>
      </c>
      <c r="I347" s="624">
        <f>H347*(1+'4. Operating'!$I$186)</f>
        <v>0</v>
      </c>
      <c r="J347" s="587"/>
    </row>
    <row r="348" spans="1:10" ht="12.75">
      <c r="A348" s="584" t="s">
        <v>76</v>
      </c>
      <c r="B348" s="577"/>
      <c r="C348" s="577"/>
      <c r="D348" s="624">
        <f>I285*(1+'4. Operating'!$I$186)</f>
        <v>0</v>
      </c>
      <c r="E348" s="624">
        <f>D348*(1+'4. Operating'!$I$186)</f>
        <v>0</v>
      </c>
      <c r="F348" s="624">
        <f>E348*(1+'4. Operating'!$I$186)</f>
        <v>0</v>
      </c>
      <c r="G348" s="624">
        <f>F348*(1+'4. Operating'!$I$186)</f>
        <v>0</v>
      </c>
      <c r="H348" s="624">
        <f>G348*(1+'4. Operating'!$I$186)</f>
        <v>0</v>
      </c>
      <c r="I348" s="624">
        <f>H348*(1+'4. Operating'!$I$186)</f>
        <v>0</v>
      </c>
      <c r="J348" s="587"/>
    </row>
    <row r="349" spans="1:10" ht="12.75">
      <c r="A349" s="584" t="s">
        <v>1294</v>
      </c>
      <c r="B349" s="577"/>
      <c r="C349" s="577"/>
      <c r="D349" s="624">
        <f>I286*(1+'4. Operating'!$I$186)</f>
        <v>0</v>
      </c>
      <c r="E349" s="624">
        <f>D349*(1+'4. Operating'!$I$186)</f>
        <v>0</v>
      </c>
      <c r="F349" s="624">
        <f>E349*(1+'4. Operating'!$I$186)</f>
        <v>0</v>
      </c>
      <c r="G349" s="624">
        <f>F349*(1+'4. Operating'!$I$186)</f>
        <v>0</v>
      </c>
      <c r="H349" s="624">
        <f>G349*(1+'4. Operating'!$I$186)</f>
        <v>0</v>
      </c>
      <c r="I349" s="624">
        <f>H349*(1+'4. Operating'!$I$186)</f>
        <v>0</v>
      </c>
      <c r="J349" s="587"/>
    </row>
    <row r="350" spans="1:10" ht="12.75">
      <c r="A350" s="584" t="s">
        <v>1244</v>
      </c>
      <c r="B350" s="577"/>
      <c r="C350" s="577"/>
      <c r="D350" s="624">
        <f>I287*(1+'4. Operating'!$I$186)</f>
        <v>0</v>
      </c>
      <c r="E350" s="624">
        <f>D350*(1+'4. Operating'!$I$186)</f>
        <v>0</v>
      </c>
      <c r="F350" s="624">
        <f>E350*(1+'4. Operating'!$I$186)</f>
        <v>0</v>
      </c>
      <c r="G350" s="624">
        <f>F350*(1+'4. Operating'!$I$186)</f>
        <v>0</v>
      </c>
      <c r="H350" s="624">
        <f>G350*(1+'4. Operating'!$I$186)</f>
        <v>0</v>
      </c>
      <c r="I350" s="624">
        <f>H350*(1+'4. Operating'!$I$186)</f>
        <v>0</v>
      </c>
      <c r="J350" s="587"/>
    </row>
    <row r="351" spans="1:10" ht="12.75">
      <c r="A351" s="584" t="s">
        <v>78</v>
      </c>
      <c r="B351" s="577"/>
      <c r="C351" s="577"/>
      <c r="D351" s="624">
        <f>I288*(1+'4. Operating'!$I$186)</f>
        <v>0</v>
      </c>
      <c r="E351" s="624">
        <f>D351*(1+'4. Operating'!$I$186)</f>
        <v>0</v>
      </c>
      <c r="F351" s="624">
        <f>E351*(1+'4. Operating'!$I$186)</f>
        <v>0</v>
      </c>
      <c r="G351" s="624">
        <f>F351*(1+'4. Operating'!$I$186)</f>
        <v>0</v>
      </c>
      <c r="H351" s="624">
        <f>G351*(1+'4. Operating'!$I$186)</f>
        <v>0</v>
      </c>
      <c r="I351" s="624">
        <f>H351*(1+'4. Operating'!$I$186)</f>
        <v>0</v>
      </c>
      <c r="J351" s="587"/>
    </row>
    <row r="352" spans="1:10" ht="12.75">
      <c r="A352" s="584" t="s">
        <v>489</v>
      </c>
      <c r="B352" s="577"/>
      <c r="C352" s="577"/>
      <c r="D352" s="624">
        <f>I289*(1+'4. Operating'!$I$186)</f>
        <v>0</v>
      </c>
      <c r="E352" s="624">
        <f>D352*(1+'4. Operating'!$I$186)</f>
        <v>0</v>
      </c>
      <c r="F352" s="624">
        <f>E352*(1+'4. Operating'!$I$186)</f>
        <v>0</v>
      </c>
      <c r="G352" s="624">
        <f>F352*(1+'4. Operating'!$I$186)</f>
        <v>0</v>
      </c>
      <c r="H352" s="624">
        <f>G352*(1+'4. Operating'!$I$186)</f>
        <v>0</v>
      </c>
      <c r="I352" s="624">
        <f>H352*(1+'4. Operating'!$I$186)</f>
        <v>0</v>
      </c>
      <c r="J352" s="587"/>
    </row>
    <row r="353" spans="1:10" ht="12.75">
      <c r="A353" s="584" t="s">
        <v>79</v>
      </c>
      <c r="B353" s="577"/>
      <c r="C353" s="577"/>
      <c r="D353" s="624">
        <f>I290*(1+'4. Operating'!$I$184)</f>
        <v>0</v>
      </c>
      <c r="E353" s="624">
        <f>D353*(1+'4. Operating'!$I$184)</f>
        <v>0</v>
      </c>
      <c r="F353" s="624">
        <f>E353*(1+'4. Operating'!$I$184)</f>
        <v>0</v>
      </c>
      <c r="G353" s="624">
        <f>F353*(1+'4. Operating'!$I$184)</f>
        <v>0</v>
      </c>
      <c r="H353" s="624">
        <f>G353*(1+'4. Operating'!$I$184)</f>
        <v>0</v>
      </c>
      <c r="I353" s="624">
        <f>H353*(1+'4. Operating'!$I$184)</f>
        <v>0</v>
      </c>
      <c r="J353" s="587"/>
    </row>
    <row r="354" spans="1:10" ht="12.75">
      <c r="A354" s="584" t="s">
        <v>81</v>
      </c>
      <c r="B354" s="577"/>
      <c r="C354" s="577"/>
      <c r="D354" s="624">
        <f>I291*(1+'4. Operating'!$I$186)</f>
        <v>0</v>
      </c>
      <c r="E354" s="624">
        <f>D354*(1+'4. Operating'!$I$186)</f>
        <v>0</v>
      </c>
      <c r="F354" s="624">
        <f>E354*(1+'4. Operating'!$I$186)</f>
        <v>0</v>
      </c>
      <c r="G354" s="624">
        <f>F354*(1+'4. Operating'!$I$186)</f>
        <v>0</v>
      </c>
      <c r="H354" s="624">
        <f>G354*(1+'4. Operating'!$I$186)</f>
        <v>0</v>
      </c>
      <c r="I354" s="624">
        <f>H354*(1+'4. Operating'!$I$186)</f>
        <v>0</v>
      </c>
      <c r="J354" s="587"/>
    </row>
    <row r="355" spans="1:10" ht="12.75">
      <c r="A355" s="584" t="s">
        <v>82</v>
      </c>
      <c r="B355" s="577"/>
      <c r="C355" s="577"/>
      <c r="D355" s="624">
        <f>I292*(1+'4. Operating'!$I$186)</f>
        <v>0</v>
      </c>
      <c r="E355" s="624">
        <f>D355*(1+'4. Operating'!$I$186)</f>
        <v>0</v>
      </c>
      <c r="F355" s="624">
        <f>E355*(1+'4. Operating'!$I$186)</f>
        <v>0</v>
      </c>
      <c r="G355" s="624">
        <f>F355*(1+'4. Operating'!$I$186)</f>
        <v>0</v>
      </c>
      <c r="H355" s="624">
        <f>G355*(1+'4. Operating'!$I$186)</f>
        <v>0</v>
      </c>
      <c r="I355" s="624">
        <f>H355*(1+'4. Operating'!$I$186)</f>
        <v>0</v>
      </c>
      <c r="J355" s="587"/>
    </row>
    <row r="356" spans="1:10" ht="12.75">
      <c r="A356" s="584" t="s">
        <v>1290</v>
      </c>
      <c r="B356" s="577"/>
      <c r="C356" s="577"/>
      <c r="D356" s="624">
        <f>I293*(1+'4. Operating'!$I$185)</f>
        <v>0</v>
      </c>
      <c r="E356" s="624">
        <f>D356*(1+'4. Operating'!$I$185)</f>
        <v>0</v>
      </c>
      <c r="F356" s="624">
        <f>E356*(1+'4. Operating'!$I$185)</f>
        <v>0</v>
      </c>
      <c r="G356" s="624">
        <f>F356*(1+'4. Operating'!$I$185)</f>
        <v>0</v>
      </c>
      <c r="H356" s="624">
        <f>G356*(1+'4. Operating'!$I$185)</f>
        <v>0</v>
      </c>
      <c r="I356" s="624">
        <f>H356*(1+'4. Operating'!$I$185)</f>
        <v>0</v>
      </c>
      <c r="J356" s="587"/>
    </row>
    <row r="357" spans="1:10" ht="12.75">
      <c r="A357" s="584" t="s">
        <v>83</v>
      </c>
      <c r="B357" s="577"/>
      <c r="C357" s="577"/>
      <c r="D357" s="624">
        <f>I294*(1+'4. Operating'!$I$186)</f>
        <v>0</v>
      </c>
      <c r="E357" s="624">
        <f>D357*(1+'4. Operating'!$I$186)</f>
        <v>0</v>
      </c>
      <c r="F357" s="624">
        <f>E357*(1+'4. Operating'!$I$186)</f>
        <v>0</v>
      </c>
      <c r="G357" s="624">
        <f>F357*(1+'4. Operating'!$I$186)</f>
        <v>0</v>
      </c>
      <c r="H357" s="624">
        <f>G357*(1+'4. Operating'!$I$186)</f>
        <v>0</v>
      </c>
      <c r="I357" s="624">
        <f>H357*(1+'4. Operating'!$I$186)</f>
        <v>0</v>
      </c>
      <c r="J357" s="587"/>
    </row>
    <row r="358" spans="1:10" ht="12.75">
      <c r="A358" s="584" t="s">
        <v>1291</v>
      </c>
      <c r="B358" s="577"/>
      <c r="C358" s="577"/>
      <c r="D358" s="624">
        <f>I295*(1+'4. Operating'!$I$186)</f>
        <v>0</v>
      </c>
      <c r="E358" s="624">
        <f>D358*(1+'4. Operating'!$I$186)</f>
        <v>0</v>
      </c>
      <c r="F358" s="624">
        <f>E358*(1+'4. Operating'!$I$186)</f>
        <v>0</v>
      </c>
      <c r="G358" s="624">
        <f>F358*(1+'4. Operating'!$I$186)</f>
        <v>0</v>
      </c>
      <c r="H358" s="624">
        <f>G358*(1+'4. Operating'!$I$186)</f>
        <v>0</v>
      </c>
      <c r="I358" s="624">
        <f>H358*(1+'4. Operating'!$I$186)</f>
        <v>0</v>
      </c>
      <c r="J358" s="587"/>
    </row>
    <row r="359" spans="1:10" ht="12.75">
      <c r="A359" s="584" t="str">
        <f>C172</f>
        <v>MIP</v>
      </c>
      <c r="B359" s="577"/>
      <c r="C359" s="577"/>
      <c r="D359" s="624">
        <f>'3. Sources Uses'!V33+'3. Sources Uses'!AH33+'3. Sources Uses'!AT33+'3. Sources Uses'!BG33+'3. Sources Uses'!BT33</f>
        <v>0</v>
      </c>
      <c r="E359" s="624">
        <f>'3. Sources Uses'!V34+'3. Sources Uses'!AH34+'3. Sources Uses'!AT34+'3. Sources Uses'!BG34+'3. Sources Uses'!BT34</f>
        <v>0</v>
      </c>
      <c r="F359" s="624">
        <f>'3. Sources Uses'!V35+'3. Sources Uses'!AH35+'3. Sources Uses'!AT35+'3. Sources Uses'!BG35+'3. Sources Uses'!BT35</f>
        <v>0</v>
      </c>
      <c r="G359" s="624">
        <f>'3. Sources Uses'!V36+'3. Sources Uses'!AH36+'3. Sources Uses'!AT36+'3. Sources Uses'!BG36+'3. Sources Uses'!BT36</f>
        <v>0</v>
      </c>
      <c r="H359" s="624">
        <f>'3. Sources Uses'!V37+'3. Sources Uses'!AH37+'3. Sources Uses'!AT37+'3. Sources Uses'!BG37+'3. Sources Uses'!BT37</f>
        <v>0</v>
      </c>
      <c r="I359" s="624">
        <f>'3. Sources Uses'!V38+'3. Sources Uses'!AH38+'3. Sources Uses'!AT38+'3. Sources Uses'!BG38+'3. Sources Uses'!BT38</f>
        <v>0</v>
      </c>
      <c r="J359" s="587"/>
    </row>
    <row r="360" spans="1:10" ht="13.5" thickBot="1">
      <c r="A360" s="1115" t="str">
        <f>'4. Operating'!$C$175</f>
        <v>Other:</v>
      </c>
      <c r="B360" s="822"/>
      <c r="C360" s="823"/>
      <c r="D360" s="624">
        <f>I297*(1+'4. Operating'!$I$186)</f>
        <v>0</v>
      </c>
      <c r="E360" s="624">
        <f>D360*(1+'4. Operating'!$I$186)</f>
        <v>0</v>
      </c>
      <c r="F360" s="624">
        <f>E360*(1+'4. Operating'!$I$186)</f>
        <v>0</v>
      </c>
      <c r="G360" s="624">
        <f>F360*(1+'4. Operating'!$I$186)</f>
        <v>0</v>
      </c>
      <c r="H360" s="624">
        <f>G360*(1+'4. Operating'!$I$186)</f>
        <v>0</v>
      </c>
      <c r="I360" s="624">
        <f>H360*(1+'4. Operating'!$I$186)</f>
        <v>0</v>
      </c>
      <c r="J360" s="587"/>
    </row>
    <row r="361" spans="1:10" ht="13.5" thickTop="1">
      <c r="A361" s="621" t="s">
        <v>490</v>
      </c>
      <c r="B361" s="577"/>
      <c r="C361" s="577"/>
      <c r="D361" s="627">
        <f t="shared" ref="D361:I361" si="13">SUM(D345:D360)</f>
        <v>0</v>
      </c>
      <c r="E361" s="627">
        <f t="shared" si="13"/>
        <v>0</v>
      </c>
      <c r="F361" s="627">
        <f t="shared" si="13"/>
        <v>0</v>
      </c>
      <c r="G361" s="627">
        <f t="shared" si="13"/>
        <v>0</v>
      </c>
      <c r="H361" s="627">
        <f t="shared" si="13"/>
        <v>0</v>
      </c>
      <c r="I361" s="627">
        <f t="shared" si="13"/>
        <v>0</v>
      </c>
      <c r="J361" s="579"/>
    </row>
    <row r="362" spans="1:10" ht="12.75">
      <c r="A362" s="576"/>
      <c r="B362" s="577"/>
      <c r="C362" s="577"/>
      <c r="D362" s="616"/>
      <c r="E362" s="616"/>
      <c r="F362" s="616"/>
      <c r="G362" s="616"/>
      <c r="H362" s="616"/>
      <c r="I362" s="616"/>
      <c r="J362" s="587"/>
    </row>
    <row r="363" spans="1:10" ht="12.75">
      <c r="A363" s="633" t="s">
        <v>505</v>
      </c>
      <c r="B363" s="577"/>
      <c r="C363" s="577"/>
      <c r="D363" s="592">
        <f t="shared" ref="D363:I363" si="14">D342-D361</f>
        <v>0</v>
      </c>
      <c r="E363" s="592">
        <f t="shared" si="14"/>
        <v>0</v>
      </c>
      <c r="F363" s="592">
        <f t="shared" si="14"/>
        <v>0</v>
      </c>
      <c r="G363" s="592">
        <f t="shared" si="14"/>
        <v>0</v>
      </c>
      <c r="H363" s="592">
        <f t="shared" si="14"/>
        <v>0</v>
      </c>
      <c r="I363" s="592">
        <f t="shared" si="14"/>
        <v>0</v>
      </c>
      <c r="J363" s="587"/>
    </row>
    <row r="364" spans="1:10" ht="12.75">
      <c r="A364" s="576"/>
      <c r="B364" s="577"/>
      <c r="C364" s="577"/>
      <c r="D364" s="616"/>
      <c r="E364" s="616"/>
      <c r="F364" s="616"/>
      <c r="G364" s="616"/>
      <c r="H364" s="616"/>
      <c r="I364" s="616"/>
      <c r="J364" s="587"/>
    </row>
    <row r="365" spans="1:10" ht="12.75">
      <c r="A365" s="584" t="s">
        <v>453</v>
      </c>
      <c r="B365" s="577"/>
      <c r="C365" s="577"/>
      <c r="D365" s="592">
        <f>'3. Sources Uses'!$W33+'3. Sources Uses'!$AI33+'3. Sources Uses'!$AU33+'3. Sources Uses'!$BH33+'3. Sources Uses'!$BU33</f>
        <v>0</v>
      </c>
      <c r="E365" s="592">
        <f>'3. Sources Uses'!$W34+'3. Sources Uses'!$AI34+'3. Sources Uses'!$AU34+'3. Sources Uses'!$BH34+'3. Sources Uses'!$BU34</f>
        <v>0</v>
      </c>
      <c r="F365" s="592">
        <f>'3. Sources Uses'!$W35+'3. Sources Uses'!$AI35+'3. Sources Uses'!$AU35+'3. Sources Uses'!$BH35+'3. Sources Uses'!$BU35</f>
        <v>0</v>
      </c>
      <c r="G365" s="592">
        <f>'3. Sources Uses'!$W36+'3. Sources Uses'!$AI36+'3. Sources Uses'!$AU36+'3. Sources Uses'!$BH36+'3. Sources Uses'!$BU36</f>
        <v>0</v>
      </c>
      <c r="H365" s="592">
        <f>'3. Sources Uses'!$W37+'3. Sources Uses'!$AI37+'3. Sources Uses'!$AU37+'3. Sources Uses'!$BH37+'3. Sources Uses'!$BU37</f>
        <v>0</v>
      </c>
      <c r="I365" s="592">
        <f>'3. Sources Uses'!$W38+'3. Sources Uses'!$AI38+'3. Sources Uses'!$AU38+'3. Sources Uses'!$BH38+'3. Sources Uses'!$BU38</f>
        <v>0</v>
      </c>
      <c r="J365" s="587"/>
    </row>
    <row r="366" spans="1:10" ht="12.75">
      <c r="A366" s="621" t="s">
        <v>454</v>
      </c>
      <c r="B366" s="577"/>
      <c r="C366" s="577"/>
      <c r="D366" s="628" t="str">
        <f t="shared" ref="D366:I366" si="15">IF(D365&gt;0,D363/D365,"               N/A")</f>
        <v xml:space="preserve">               N/A</v>
      </c>
      <c r="E366" s="628" t="str">
        <f t="shared" si="15"/>
        <v xml:space="preserve">               N/A</v>
      </c>
      <c r="F366" s="628" t="str">
        <f t="shared" si="15"/>
        <v xml:space="preserve">               N/A</v>
      </c>
      <c r="G366" s="628" t="str">
        <f t="shared" si="15"/>
        <v xml:space="preserve">               N/A</v>
      </c>
      <c r="H366" s="628" t="str">
        <f t="shared" si="15"/>
        <v xml:space="preserve">               N/A</v>
      </c>
      <c r="I366" s="628" t="str">
        <f t="shared" si="15"/>
        <v xml:space="preserve">               N/A</v>
      </c>
      <c r="J366" s="587"/>
    </row>
    <row r="367" spans="1:10" ht="12.75">
      <c r="A367" s="584" t="s">
        <v>492</v>
      </c>
      <c r="B367" s="577"/>
      <c r="C367" s="577"/>
      <c r="D367" s="592">
        <f t="shared" ref="D367:I367" si="16">D363-D365</f>
        <v>0</v>
      </c>
      <c r="E367" s="592">
        <f t="shared" si="16"/>
        <v>0</v>
      </c>
      <c r="F367" s="592">
        <f t="shared" si="16"/>
        <v>0</v>
      </c>
      <c r="G367" s="592">
        <f t="shared" si="16"/>
        <v>0</v>
      </c>
      <c r="H367" s="592">
        <f t="shared" si="16"/>
        <v>0</v>
      </c>
      <c r="I367" s="592">
        <f t="shared" si="16"/>
        <v>0</v>
      </c>
      <c r="J367" s="579"/>
    </row>
    <row r="368" spans="1:10" ht="12.75">
      <c r="A368" s="576"/>
      <c r="B368" s="577"/>
      <c r="C368" s="577"/>
      <c r="D368" s="616"/>
      <c r="E368" s="616"/>
      <c r="F368" s="616"/>
      <c r="G368" s="616"/>
      <c r="H368" s="616"/>
      <c r="I368" s="616"/>
      <c r="J368" s="587"/>
    </row>
    <row r="369" spans="1:11" ht="12.75">
      <c r="A369" s="584" t="s">
        <v>493</v>
      </c>
      <c r="B369" s="577"/>
      <c r="C369" s="577"/>
      <c r="D369" s="592">
        <f>D365*'3. Sources Uses'!$I$223</f>
        <v>0</v>
      </c>
      <c r="E369" s="592">
        <f>E365*'3. Sources Uses'!$I$223</f>
        <v>0</v>
      </c>
      <c r="F369" s="592">
        <f>F365*'3. Sources Uses'!$I$223</f>
        <v>0</v>
      </c>
      <c r="G369" s="592">
        <f>G365*'3. Sources Uses'!$I$223</f>
        <v>0</v>
      </c>
      <c r="H369" s="592">
        <f>H365*'3. Sources Uses'!$I$223</f>
        <v>0</v>
      </c>
      <c r="I369" s="592">
        <f>I365*'3. Sources Uses'!$I$223</f>
        <v>0</v>
      </c>
      <c r="J369" s="587"/>
    </row>
    <row r="370" spans="1:11" ht="12.75">
      <c r="A370" s="584" t="s">
        <v>494</v>
      </c>
      <c r="B370" s="585"/>
      <c r="C370" s="577"/>
      <c r="D370" s="592">
        <f t="shared" ref="D370:I370" si="17">D363-D369</f>
        <v>0</v>
      </c>
      <c r="E370" s="592">
        <f t="shared" si="17"/>
        <v>0</v>
      </c>
      <c r="F370" s="592">
        <f t="shared" si="17"/>
        <v>0</v>
      </c>
      <c r="G370" s="592">
        <f t="shared" si="17"/>
        <v>0</v>
      </c>
      <c r="H370" s="592">
        <f t="shared" si="17"/>
        <v>0</v>
      </c>
      <c r="I370" s="592">
        <f t="shared" si="17"/>
        <v>0</v>
      </c>
      <c r="J370" s="579"/>
    </row>
    <row r="371" spans="1:11" ht="12.75">
      <c r="A371" s="584"/>
      <c r="B371" s="585"/>
      <c r="C371" s="585"/>
      <c r="D371" s="585"/>
      <c r="E371" s="585"/>
      <c r="F371" s="585"/>
      <c r="G371" s="585"/>
      <c r="H371" s="585"/>
      <c r="I371" s="577"/>
      <c r="J371" s="579"/>
    </row>
    <row r="372" spans="1:11">
      <c r="A372" s="576"/>
      <c r="B372" s="577"/>
      <c r="C372" s="577"/>
      <c r="D372" s="577"/>
      <c r="E372" s="577"/>
      <c r="F372" s="577"/>
      <c r="G372" s="577"/>
      <c r="H372" s="577"/>
      <c r="I372" s="577"/>
      <c r="J372" s="579"/>
    </row>
    <row r="373" spans="1:11" ht="12" thickBot="1">
      <c r="A373" s="598"/>
      <c r="B373" s="599"/>
      <c r="C373" s="599"/>
      <c r="D373" s="599"/>
      <c r="E373" s="599"/>
      <c r="F373" s="599"/>
      <c r="G373" s="599"/>
      <c r="H373" s="599"/>
      <c r="I373" s="599"/>
      <c r="J373" s="600"/>
    </row>
    <row r="374" spans="1:11">
      <c r="A374" s="568"/>
      <c r="B374" s="568">
        <f>PROJNAME</f>
        <v>0</v>
      </c>
      <c r="C374" s="568"/>
      <c r="D374" s="568"/>
      <c r="E374" s="568"/>
      <c r="F374" s="568"/>
      <c r="G374" s="827" t="e">
        <f>'1. Description'!$G$59</f>
        <v>#VALUE!</v>
      </c>
      <c r="H374" s="568"/>
      <c r="I374" s="828" t="e">
        <f>'1. Description'!$H$59</f>
        <v>#VALUE!</v>
      </c>
      <c r="J374" s="567"/>
    </row>
    <row r="375" spans="1:11" ht="13.5" thickBot="1">
      <c r="A375" s="359" t="str">
        <f>'2. Dev. Team'!A1</f>
        <v>One Stop2000 Affordable Housing Finance Application [Version 1.21] ©</v>
      </c>
      <c r="B375" s="567"/>
      <c r="C375" s="567"/>
      <c r="D375" s="567"/>
      <c r="E375" s="567"/>
      <c r="F375" s="567"/>
      <c r="G375" s="567"/>
      <c r="H375" s="601" t="s">
        <v>506</v>
      </c>
      <c r="I375" s="601"/>
      <c r="J375" s="601"/>
    </row>
    <row r="376" spans="1:11" ht="26.25" thickBot="1">
      <c r="A376" s="602" t="s">
        <v>508</v>
      </c>
      <c r="B376" s="603"/>
      <c r="C376" s="603"/>
      <c r="D376" s="603"/>
      <c r="E376" s="603"/>
      <c r="F376" s="603"/>
      <c r="G376" s="603"/>
      <c r="H376" s="603"/>
      <c r="I376" s="603"/>
      <c r="J376" s="604"/>
    </row>
    <row r="377" spans="1:11" s="78" customFormat="1" ht="16.5" thickTop="1" thickBot="1">
      <c r="A377" s="605" t="s">
        <v>459</v>
      </c>
      <c r="B377" s="606"/>
      <c r="C377" s="606"/>
      <c r="D377" s="606"/>
      <c r="E377" s="606"/>
      <c r="F377" s="606"/>
      <c r="G377" s="606"/>
      <c r="H377" s="606"/>
      <c r="I377" s="606"/>
      <c r="J377" s="607"/>
    </row>
    <row r="378" spans="1:11" ht="12" thickTop="1">
      <c r="A378" s="608"/>
      <c r="B378" s="609"/>
      <c r="C378" s="609"/>
      <c r="D378" s="609"/>
      <c r="E378" s="609"/>
      <c r="F378" s="609"/>
      <c r="G378" s="609"/>
      <c r="H378" s="609"/>
      <c r="I378" s="609"/>
      <c r="J378" s="610"/>
    </row>
    <row r="379" spans="1:11" ht="12.75">
      <c r="A379" s="576"/>
      <c r="B379" s="577"/>
      <c r="C379" s="577"/>
      <c r="D379" s="577"/>
      <c r="E379" s="595" t="s">
        <v>1263</v>
      </c>
      <c r="F379" s="595" t="s">
        <v>1263</v>
      </c>
      <c r="G379" s="595" t="s">
        <v>1263</v>
      </c>
      <c r="H379" s="595" t="s">
        <v>1264</v>
      </c>
      <c r="I379" s="595" t="s">
        <v>1264</v>
      </c>
      <c r="J379" s="579"/>
    </row>
    <row r="380" spans="1:11" ht="12.75">
      <c r="A380" s="576"/>
      <c r="B380" s="635"/>
      <c r="C380" s="577"/>
      <c r="D380" s="577"/>
      <c r="E380" s="612" t="s">
        <v>657</v>
      </c>
      <c r="F380" s="612" t="s">
        <v>509</v>
      </c>
      <c r="G380" s="612" t="s">
        <v>510</v>
      </c>
      <c r="H380" s="612" t="s">
        <v>657</v>
      </c>
      <c r="I380" s="612" t="s">
        <v>510</v>
      </c>
      <c r="J380" s="579"/>
    </row>
    <row r="381" spans="1:11">
      <c r="A381" s="576"/>
      <c r="B381" s="577"/>
      <c r="C381" s="577"/>
      <c r="D381" s="577"/>
      <c r="E381" s="577"/>
      <c r="F381" s="577"/>
      <c r="G381" s="577"/>
      <c r="H381" s="577"/>
      <c r="I381" s="577"/>
      <c r="J381" s="579"/>
    </row>
    <row r="382" spans="1:11" ht="12.75">
      <c r="A382" s="584"/>
      <c r="B382" s="585" t="s">
        <v>53</v>
      </c>
      <c r="C382" s="585"/>
      <c r="D382" s="585"/>
      <c r="E382" s="592">
        <f>'4. Operating'!F125+0</f>
        <v>0</v>
      </c>
      <c r="F382" s="615" t="str">
        <f>IF('1. Description'!$I$72&gt;0,(E382/'1. Description'!$I$72),"          N/A")</f>
        <v xml:space="preserve">          N/A</v>
      </c>
      <c r="G382" s="615" t="str">
        <f>IF('1. Description'!$E$140&gt;0,(E382/'1. Description'!$E$140),"          N/A")</f>
        <v xml:space="preserve">          N/A</v>
      </c>
      <c r="H382" s="636">
        <f>'4. Operating'!G125+0</f>
        <v>0</v>
      </c>
      <c r="I382" s="615" t="str">
        <f>IF('1. Description'!$E$141&gt;0,(E382/'1. Description'!$E$141),"          N/A")</f>
        <v xml:space="preserve">          N/A</v>
      </c>
      <c r="J382" s="587"/>
      <c r="K382" s="451"/>
    </row>
    <row r="383" spans="1:11">
      <c r="A383" s="576"/>
      <c r="B383" s="577"/>
      <c r="C383" s="577"/>
      <c r="D383" s="577"/>
      <c r="E383" s="616"/>
      <c r="F383" s="617"/>
      <c r="G383" s="617"/>
      <c r="H383" s="616"/>
      <c r="I383" s="617"/>
      <c r="J383" s="579"/>
    </row>
    <row r="384" spans="1:11" ht="12.75">
      <c r="A384" s="584"/>
      <c r="B384" s="585" t="s">
        <v>54</v>
      </c>
      <c r="C384" s="585"/>
      <c r="D384" s="585"/>
      <c r="E384" s="592">
        <f>'4. Operating'!F127+0</f>
        <v>0</v>
      </c>
      <c r="F384" s="615" t="str">
        <f>IF('1. Description'!$I$72&gt;0,(E384/'1. Description'!$I$72),"          N/A")</f>
        <v xml:space="preserve">          N/A</v>
      </c>
      <c r="G384" s="615" t="str">
        <f>IF('1. Description'!$E$140&gt;0,(E384/'1. Description'!$E$140),"          N/A")</f>
        <v xml:space="preserve">          N/A</v>
      </c>
      <c r="H384" s="636">
        <f>'4. Operating'!G127+0</f>
        <v>0</v>
      </c>
      <c r="I384" s="615" t="str">
        <f>IF('1. Description'!$E$141&gt;0,(E384/'1. Description'!$E$141),"          N/A")</f>
        <v xml:space="preserve">          N/A</v>
      </c>
      <c r="J384" s="587"/>
    </row>
    <row r="385" spans="1:10" ht="12.75">
      <c r="A385" s="584"/>
      <c r="B385" s="585" t="s">
        <v>55</v>
      </c>
      <c r="C385" s="585"/>
      <c r="D385" s="585"/>
      <c r="E385" s="592">
        <f>'4. Operating'!F128+0</f>
        <v>0</v>
      </c>
      <c r="F385" s="615" t="str">
        <f>IF('1. Description'!$I$72&gt;0,(E385/'1. Description'!$I$72),"          N/A")</f>
        <v xml:space="preserve">          N/A</v>
      </c>
      <c r="G385" s="615" t="str">
        <f>IF('1. Description'!$E$140&gt;0,(E385/'1. Description'!$E$140),"          N/A")</f>
        <v xml:space="preserve">          N/A</v>
      </c>
      <c r="H385" s="636">
        <f>'4. Operating'!G128+0</f>
        <v>0</v>
      </c>
      <c r="I385" s="615" t="str">
        <f>IF('1. Description'!$E$141&gt;0,(E385/'1. Description'!$E$141),"          N/A")</f>
        <v xml:space="preserve">          N/A</v>
      </c>
      <c r="J385" s="587"/>
    </row>
    <row r="386" spans="1:10" ht="12.75">
      <c r="A386" s="584"/>
      <c r="B386" s="585" t="s">
        <v>1280</v>
      </c>
      <c r="C386" s="585"/>
      <c r="D386" s="585"/>
      <c r="E386" s="592">
        <f>'4. Operating'!F129+0</f>
        <v>0</v>
      </c>
      <c r="F386" s="615" t="str">
        <f>IF('1. Description'!$I$72&gt;0,(E386/'1. Description'!$I$72),"          N/A")</f>
        <v xml:space="preserve">          N/A</v>
      </c>
      <c r="G386" s="615" t="str">
        <f>IF('1. Description'!$E$140&gt;0,(E386/'1. Description'!$E$140),"          N/A")</f>
        <v xml:space="preserve">          N/A</v>
      </c>
      <c r="H386" s="636">
        <f>'4. Operating'!G129+0</f>
        <v>0</v>
      </c>
      <c r="I386" s="615" t="str">
        <f>IF('1. Description'!$E$141&gt;0,(E386/'1. Description'!$E$141),"          N/A")</f>
        <v xml:space="preserve">          N/A</v>
      </c>
      <c r="J386" s="587"/>
    </row>
    <row r="387" spans="1:10" ht="12.75">
      <c r="A387" s="584"/>
      <c r="B387" s="585" t="s">
        <v>56</v>
      </c>
      <c r="C387" s="585"/>
      <c r="D387" s="585"/>
      <c r="E387" s="592">
        <f>'4. Operating'!F130+0</f>
        <v>0</v>
      </c>
      <c r="F387" s="615" t="str">
        <f>IF('1. Description'!$I$72&gt;0,(E387/'1. Description'!$I$72),"          N/A")</f>
        <v xml:space="preserve">          N/A</v>
      </c>
      <c r="G387" s="615" t="str">
        <f>IF('1. Description'!$E$140&gt;0,(E387/'1. Description'!$E$140),"          N/A")</f>
        <v xml:space="preserve">          N/A</v>
      </c>
      <c r="H387" s="636">
        <f>'4. Operating'!G130+0</f>
        <v>0</v>
      </c>
      <c r="I387" s="615" t="str">
        <f>IF('1. Description'!$E$141&gt;0,(E387/'1. Description'!$E$141),"          N/A")</f>
        <v xml:space="preserve">          N/A</v>
      </c>
      <c r="J387" s="587"/>
    </row>
    <row r="388" spans="1:10" ht="12.75">
      <c r="A388" s="584"/>
      <c r="B388" s="585" t="s">
        <v>57</v>
      </c>
      <c r="C388" s="585"/>
      <c r="D388" s="585"/>
      <c r="E388" s="592">
        <f>'4. Operating'!F131+0</f>
        <v>0</v>
      </c>
      <c r="F388" s="615" t="str">
        <f>IF('1. Description'!$I$72&gt;0,(E388/'1. Description'!$I$72),"          N/A")</f>
        <v xml:space="preserve">          N/A</v>
      </c>
      <c r="G388" s="615" t="str">
        <f>IF('1. Description'!$E$140&gt;0,(E388/'1. Description'!$E$140),"          N/A")</f>
        <v xml:space="preserve">          N/A</v>
      </c>
      <c r="H388" s="636">
        <f>'4. Operating'!G131+0</f>
        <v>0</v>
      </c>
      <c r="I388" s="615" t="str">
        <f>IF('1. Description'!$E$141&gt;0,(E388/'1. Description'!$E$141),"          N/A")</f>
        <v xml:space="preserve">          N/A</v>
      </c>
      <c r="J388" s="587"/>
    </row>
    <row r="389" spans="1:10" ht="12.75">
      <c r="A389" s="584"/>
      <c r="B389" s="585" t="s">
        <v>58</v>
      </c>
      <c r="C389" s="585"/>
      <c r="D389" s="585"/>
      <c r="E389" s="592">
        <f>'4. Operating'!F132+0</f>
        <v>0</v>
      </c>
      <c r="F389" s="615" t="str">
        <f>IF('1. Description'!$I$72&gt;0,(E389/'1. Description'!$I$72),"          N/A")</f>
        <v xml:space="preserve">          N/A</v>
      </c>
      <c r="G389" s="615" t="str">
        <f>IF('1. Description'!$E$140&gt;0,(E389/'1. Description'!$E$140),"          N/A")</f>
        <v xml:space="preserve">          N/A</v>
      </c>
      <c r="H389" s="636">
        <f>'4. Operating'!G132+0</f>
        <v>0</v>
      </c>
      <c r="I389" s="615" t="str">
        <f>IF('1. Description'!$E$141&gt;0,(E389/'1. Description'!$E$141),"          N/A")</f>
        <v xml:space="preserve">          N/A</v>
      </c>
      <c r="J389" s="587"/>
    </row>
    <row r="390" spans="1:10" ht="12.75">
      <c r="A390" s="584"/>
      <c r="B390" s="585" t="s">
        <v>59</v>
      </c>
      <c r="C390" s="585"/>
      <c r="D390" s="585"/>
      <c r="E390" s="592">
        <f>'4. Operating'!F133+0</f>
        <v>0</v>
      </c>
      <c r="F390" s="615" t="str">
        <f>IF('1. Description'!$I$72&gt;0,(E390/'1. Description'!$I$72),"          N/A")</f>
        <v xml:space="preserve">          N/A</v>
      </c>
      <c r="G390" s="615" t="str">
        <f>IF('1. Description'!$E$140&gt;0,(E390/'1. Description'!$E$140),"          N/A")</f>
        <v xml:space="preserve">          N/A</v>
      </c>
      <c r="H390" s="636">
        <f>'4. Operating'!G133+0</f>
        <v>0</v>
      </c>
      <c r="I390" s="615" t="str">
        <f>IF('1. Description'!$E$141&gt;0,(E390/'1. Description'!$E$141),"          N/A")</f>
        <v xml:space="preserve">          N/A</v>
      </c>
      <c r="J390" s="587"/>
    </row>
    <row r="391" spans="1:10" ht="12.75">
      <c r="A391" s="584"/>
      <c r="B391" s="585" t="s">
        <v>60</v>
      </c>
      <c r="C391" s="585"/>
      <c r="D391" s="585"/>
      <c r="E391" s="592">
        <f>'4. Operating'!F134+0</f>
        <v>0</v>
      </c>
      <c r="F391" s="615" t="str">
        <f>IF('1. Description'!$I$72&gt;0,(E391/'1. Description'!$I$72),"          N/A")</f>
        <v xml:space="preserve">          N/A</v>
      </c>
      <c r="G391" s="615" t="str">
        <f>IF('1. Description'!$E$140&gt;0,(E391/'1. Description'!$E$140),"          N/A")</f>
        <v xml:space="preserve">          N/A</v>
      </c>
      <c r="H391" s="636">
        <f>'4. Operating'!G134+0</f>
        <v>0</v>
      </c>
      <c r="I391" s="615" t="str">
        <f>IF('1. Description'!$E$141&gt;0,(E391/'1. Description'!$E$141),"          N/A")</f>
        <v xml:space="preserve">          N/A</v>
      </c>
      <c r="J391" s="587"/>
    </row>
    <row r="392" spans="1:10" ht="12.75">
      <c r="A392" s="584"/>
      <c r="B392" s="585" t="s">
        <v>61</v>
      </c>
      <c r="C392" s="585"/>
      <c r="D392" s="585"/>
      <c r="E392" s="592">
        <f>'4. Operating'!F135+0</f>
        <v>0</v>
      </c>
      <c r="F392" s="615" t="str">
        <f>IF('1. Description'!$I$72&gt;0,(E392/'1. Description'!$I$72),"          N/A")</f>
        <v xml:space="preserve">          N/A</v>
      </c>
      <c r="G392" s="615" t="str">
        <f>IF('1. Description'!$E$140&gt;0,(E392/'1. Description'!$E$140),"          N/A")</f>
        <v xml:space="preserve">          N/A</v>
      </c>
      <c r="H392" s="636">
        <f>'4. Operating'!G135+0</f>
        <v>0</v>
      </c>
      <c r="I392" s="615" t="str">
        <f>IF('1. Description'!$E$141&gt;0,(E392/'1. Description'!$E$141),"          N/A")</f>
        <v xml:space="preserve">          N/A</v>
      </c>
      <c r="J392" s="587"/>
    </row>
    <row r="393" spans="1:10" ht="12.75">
      <c r="A393" s="584"/>
      <c r="B393" s="585" t="s">
        <v>707</v>
      </c>
      <c r="C393" s="585"/>
      <c r="D393" s="585"/>
      <c r="E393" s="592">
        <f>'4. Operating'!F136+0</f>
        <v>0</v>
      </c>
      <c r="F393" s="615" t="str">
        <f>IF('1. Description'!$I$72&gt;0,(E393/'1. Description'!$I$72),"          N/A")</f>
        <v xml:space="preserve">          N/A</v>
      </c>
      <c r="G393" s="615" t="str">
        <f>IF('1. Description'!$E$140&gt;0,(E393/'1. Description'!$E$140),"          N/A")</f>
        <v xml:space="preserve">          N/A</v>
      </c>
      <c r="H393" s="636">
        <f>'4. Operating'!G136+0</f>
        <v>0</v>
      </c>
      <c r="I393" s="615" t="str">
        <f>IF('1. Description'!$E$141&gt;0,(E393/'1. Description'!$E$141),"          N/A")</f>
        <v xml:space="preserve">          N/A</v>
      </c>
      <c r="J393" s="587"/>
    </row>
    <row r="394" spans="1:10" ht="12.75">
      <c r="A394" s="584"/>
      <c r="B394" s="585" t="s">
        <v>790</v>
      </c>
      <c r="C394" s="585"/>
      <c r="D394" s="585"/>
      <c r="E394" s="592">
        <f>'4. Operating'!F137+0</f>
        <v>0</v>
      </c>
      <c r="F394" s="615" t="str">
        <f>IF('1. Description'!$I$72&gt;0,(E394/'1. Description'!$I$72),"          N/A")</f>
        <v xml:space="preserve">          N/A</v>
      </c>
      <c r="G394" s="615" t="str">
        <f>IF('1. Description'!$E$140&gt;0,(E394/'1. Description'!$E$140),"          N/A")</f>
        <v xml:space="preserve">          N/A</v>
      </c>
      <c r="H394" s="636">
        <f>'4. Operating'!G137+0</f>
        <v>0</v>
      </c>
      <c r="I394" s="615" t="str">
        <f>IF('1. Description'!$E$141&gt;0,(E394/'1. Description'!$E$141),"          N/A")</f>
        <v xml:space="preserve">          N/A</v>
      </c>
      <c r="J394" s="587"/>
    </row>
    <row r="395" spans="1:10" ht="13.5" thickBot="1">
      <c r="A395" s="584"/>
      <c r="B395" s="585" t="s">
        <v>790</v>
      </c>
      <c r="C395" s="585"/>
      <c r="D395" s="585"/>
      <c r="E395" s="592">
        <f>'4. Operating'!F138+0</f>
        <v>0</v>
      </c>
      <c r="F395" s="615" t="str">
        <f>IF('1. Description'!$I$72&gt;0,(E395/'1. Description'!$I$72),"          N/A")</f>
        <v xml:space="preserve">          N/A</v>
      </c>
      <c r="G395" s="615" t="str">
        <f>IF('1. Description'!$E$140&gt;0,(E395/'1. Description'!$E$140),"          N/A")</f>
        <v xml:space="preserve">          N/A</v>
      </c>
      <c r="H395" s="636">
        <f>'4. Operating'!G138+0</f>
        <v>0</v>
      </c>
      <c r="I395" s="615" t="str">
        <f>IF('1. Description'!$E$141&gt;0,(E395/'1. Description'!$E$141),"          N/A")</f>
        <v xml:space="preserve">          N/A</v>
      </c>
      <c r="J395" s="587"/>
    </row>
    <row r="396" spans="1:10" ht="13.5" thickTop="1">
      <c r="A396" s="584"/>
      <c r="B396" s="593" t="s">
        <v>62</v>
      </c>
      <c r="C396" s="585"/>
      <c r="D396" s="585"/>
      <c r="E396" s="627">
        <f>'4. Operating'!F139+0</f>
        <v>0</v>
      </c>
      <c r="F396" s="637" t="str">
        <f>IF('1. Description'!$I$72&gt;0,(E396/'1. Description'!$I$72),"          N/A")</f>
        <v xml:space="preserve">          N/A</v>
      </c>
      <c r="G396" s="637" t="str">
        <f>IF('1. Description'!$E$140&gt;0,(E396/'1. Description'!$E$140),"          N/A")</f>
        <v xml:space="preserve">          N/A</v>
      </c>
      <c r="H396" s="638">
        <f>'4. Operating'!G139+0</f>
        <v>0</v>
      </c>
      <c r="I396" s="637" t="str">
        <f>IF('1. Description'!$E$141&gt;0,(E396/'1. Description'!$E$141),"          N/A")</f>
        <v xml:space="preserve">          N/A</v>
      </c>
      <c r="J396" s="587"/>
    </row>
    <row r="397" spans="1:10">
      <c r="A397" s="576"/>
      <c r="B397" s="577"/>
      <c r="C397" s="577"/>
      <c r="D397" s="577"/>
      <c r="E397" s="616"/>
      <c r="F397" s="617"/>
      <c r="G397" s="617"/>
      <c r="H397" s="616"/>
      <c r="I397" s="617"/>
      <c r="J397" s="579"/>
    </row>
    <row r="398" spans="1:10" ht="12.75">
      <c r="A398" s="584"/>
      <c r="B398" s="585" t="s">
        <v>63</v>
      </c>
      <c r="C398" s="585"/>
      <c r="D398" s="585"/>
      <c r="E398" s="592">
        <f>'4. Operating'!F141+0</f>
        <v>0</v>
      </c>
      <c r="F398" s="615" t="str">
        <f>IF('1. Description'!$I$72&gt;0,(E398/'1. Description'!$I$72),"          N/A")</f>
        <v xml:space="preserve">          N/A</v>
      </c>
      <c r="G398" s="615" t="str">
        <f>IF('1. Description'!$E$140&gt;0,(E398/'1. Description'!$E$140),"          N/A")</f>
        <v xml:space="preserve">          N/A</v>
      </c>
      <c r="H398" s="636">
        <f>'4. Operating'!G141+0</f>
        <v>0</v>
      </c>
      <c r="I398" s="615" t="str">
        <f>IF('1. Description'!$E$141&gt;0,(E398/'1. Description'!$E$141),"          N/A")</f>
        <v xml:space="preserve">          N/A</v>
      </c>
      <c r="J398" s="587"/>
    </row>
    <row r="399" spans="1:10" ht="12.75">
      <c r="A399" s="584"/>
      <c r="B399" s="585" t="s">
        <v>55</v>
      </c>
      <c r="C399" s="585"/>
      <c r="D399" s="585"/>
      <c r="E399" s="592">
        <f>'4. Operating'!F142+0</f>
        <v>0</v>
      </c>
      <c r="F399" s="615" t="str">
        <f>IF('1. Description'!$I$72&gt;0,(E399/'1. Description'!$I$72),"          N/A")</f>
        <v xml:space="preserve">          N/A</v>
      </c>
      <c r="G399" s="615" t="str">
        <f>IF('1. Description'!$E$140&gt;0,(E399/'1. Description'!$E$140),"          N/A")</f>
        <v xml:space="preserve">          N/A</v>
      </c>
      <c r="H399" s="636">
        <f>'4. Operating'!G142+0</f>
        <v>0</v>
      </c>
      <c r="I399" s="615" t="str">
        <f>IF('1. Description'!$E$141&gt;0,(E399/'1. Description'!$E$141),"          N/A")</f>
        <v xml:space="preserve">          N/A</v>
      </c>
      <c r="J399" s="587"/>
    </row>
    <row r="400" spans="1:10" ht="12.75">
      <c r="A400" s="584"/>
      <c r="B400" s="585" t="s">
        <v>64</v>
      </c>
      <c r="C400" s="585"/>
      <c r="D400" s="585"/>
      <c r="E400" s="592">
        <f>'4. Operating'!F143+0</f>
        <v>0</v>
      </c>
      <c r="F400" s="615" t="str">
        <f>IF('1. Description'!$I$72&gt;0,(E400/'1. Description'!$I$72),"          N/A")</f>
        <v xml:space="preserve">          N/A</v>
      </c>
      <c r="G400" s="615" t="str">
        <f>IF('1. Description'!$E$140&gt;0,(E400/'1. Description'!$E$140),"          N/A")</f>
        <v xml:space="preserve">          N/A</v>
      </c>
      <c r="H400" s="636">
        <f>'4. Operating'!G143+0</f>
        <v>0</v>
      </c>
      <c r="I400" s="615" t="str">
        <f>IF('1. Description'!$E$141&gt;0,(E400/'1. Description'!$E$141),"          N/A")</f>
        <v xml:space="preserve">          N/A</v>
      </c>
      <c r="J400" s="587"/>
    </row>
    <row r="401" spans="1:11" ht="12.75">
      <c r="A401" s="584"/>
      <c r="B401" s="585" t="s">
        <v>65</v>
      </c>
      <c r="C401" s="585"/>
      <c r="D401" s="585"/>
      <c r="E401" s="592">
        <f>'4. Operating'!F144+0</f>
        <v>0</v>
      </c>
      <c r="F401" s="615" t="str">
        <f>IF('1. Description'!$I$72&gt;0,(E401/'1. Description'!$I$72),"          N/A")</f>
        <v xml:space="preserve">          N/A</v>
      </c>
      <c r="G401" s="615" t="str">
        <f>IF('1. Description'!$E$140&gt;0,(E401/'1. Description'!$E$140),"          N/A")</f>
        <v xml:space="preserve">          N/A</v>
      </c>
      <c r="H401" s="636">
        <f>'4. Operating'!G144+0</f>
        <v>0</v>
      </c>
      <c r="I401" s="615" t="str">
        <f>IF('1. Description'!$E$141&gt;0,(E401/'1. Description'!$E$141),"          N/A")</f>
        <v xml:space="preserve">          N/A</v>
      </c>
      <c r="J401" s="587"/>
    </row>
    <row r="402" spans="1:11" ht="12.75">
      <c r="A402" s="584"/>
      <c r="B402" s="585" t="s">
        <v>68</v>
      </c>
      <c r="C402" s="585"/>
      <c r="D402" s="585"/>
      <c r="E402" s="592">
        <f>'4. Operating'!F145+0</f>
        <v>0</v>
      </c>
      <c r="F402" s="615" t="str">
        <f>IF('1. Description'!$I$72&gt;0,(E402/'1. Description'!$I$72),"          N/A")</f>
        <v xml:space="preserve">          N/A</v>
      </c>
      <c r="G402" s="615" t="str">
        <f>IF('1. Description'!$E$140&gt;0,(E402/'1. Description'!$E$140),"          N/A")</f>
        <v xml:space="preserve">          N/A</v>
      </c>
      <c r="H402" s="636">
        <f>'4. Operating'!G145+0</f>
        <v>0</v>
      </c>
      <c r="I402" s="615" t="str">
        <f>IF('1. Description'!$E$141&gt;0,(E402/'1. Description'!$E$141),"          N/A")</f>
        <v xml:space="preserve">          N/A</v>
      </c>
      <c r="J402" s="587"/>
    </row>
    <row r="403" spans="1:11" ht="12.75">
      <c r="A403" s="584"/>
      <c r="B403" s="585" t="s">
        <v>69</v>
      </c>
      <c r="C403" s="585"/>
      <c r="D403" s="585"/>
      <c r="E403" s="592">
        <f>'4. Operating'!F146+0</f>
        <v>0</v>
      </c>
      <c r="F403" s="615" t="str">
        <f>IF('1. Description'!$I$72&gt;0,(E403/'1. Description'!$I$72),"          N/A")</f>
        <v xml:space="preserve">          N/A</v>
      </c>
      <c r="G403" s="615" t="str">
        <f>IF('1. Description'!$E$140&gt;0,(E403/'1. Description'!$E$140),"          N/A")</f>
        <v xml:space="preserve">          N/A</v>
      </c>
      <c r="H403" s="636">
        <f>'4. Operating'!G146+0</f>
        <v>0</v>
      </c>
      <c r="I403" s="615" t="str">
        <f>IF('1. Description'!$E$141&gt;0,(E403/'1. Description'!$E$141),"          N/A")</f>
        <v xml:space="preserve">          N/A</v>
      </c>
      <c r="J403" s="587"/>
    </row>
    <row r="404" spans="1:11" ht="12.75">
      <c r="A404" s="584"/>
      <c r="B404" s="585" t="s">
        <v>70</v>
      </c>
      <c r="C404" s="585"/>
      <c r="D404" s="585"/>
      <c r="E404" s="592">
        <f>'4. Operating'!F147+0</f>
        <v>0</v>
      </c>
      <c r="F404" s="615" t="str">
        <f>IF('1. Description'!$I$72&gt;0,(E404/'1. Description'!$I$72),"          N/A")</f>
        <v xml:space="preserve">          N/A</v>
      </c>
      <c r="G404" s="615" t="str">
        <f>IF('1. Description'!$E$140&gt;0,(E404/'1. Description'!$E$140),"          N/A")</f>
        <v xml:space="preserve">          N/A</v>
      </c>
      <c r="H404" s="636">
        <f>'4. Operating'!G147+0</f>
        <v>0</v>
      </c>
      <c r="I404" s="615" t="str">
        <f>IF('1. Description'!$E$141&gt;0,(E404/'1. Description'!$E$141),"          N/A")</f>
        <v xml:space="preserve">          N/A</v>
      </c>
      <c r="J404" s="587"/>
    </row>
    <row r="405" spans="1:11" ht="12.75">
      <c r="A405" s="584"/>
      <c r="B405" s="585" t="s">
        <v>71</v>
      </c>
      <c r="C405" s="585"/>
      <c r="D405" s="585"/>
      <c r="E405" s="592">
        <f>'4. Operating'!F148+0</f>
        <v>0</v>
      </c>
      <c r="F405" s="615" t="str">
        <f>IF('1. Description'!$I$72&gt;0,(E405/'1. Description'!$I$72),"          N/A")</f>
        <v xml:space="preserve">          N/A</v>
      </c>
      <c r="G405" s="615" t="str">
        <f>IF('1. Description'!$E$140&gt;0,(E405/'1. Description'!$E$140),"          N/A")</f>
        <v xml:space="preserve">          N/A</v>
      </c>
      <c r="H405" s="636">
        <f>'4. Operating'!G148+0</f>
        <v>0</v>
      </c>
      <c r="I405" s="615" t="str">
        <f>IF('1. Description'!$E$141&gt;0,(E405/'1. Description'!$E$141),"          N/A")</f>
        <v xml:space="preserve">          N/A</v>
      </c>
      <c r="J405" s="587"/>
    </row>
    <row r="406" spans="1:11" ht="12.75">
      <c r="A406" s="584"/>
      <c r="B406" s="585" t="s">
        <v>72</v>
      </c>
      <c r="C406" s="585"/>
      <c r="D406" s="585"/>
      <c r="E406" s="592">
        <f>'4. Operating'!F149+0</f>
        <v>0</v>
      </c>
      <c r="F406" s="615" t="str">
        <f>IF('1. Description'!$I$72&gt;0,(E406/'1. Description'!$I$72),"          N/A")</f>
        <v xml:space="preserve">          N/A</v>
      </c>
      <c r="G406" s="615" t="str">
        <f>IF('1. Description'!$E$140&gt;0,(E406/'1. Description'!$E$140),"          N/A")</f>
        <v xml:space="preserve">          N/A</v>
      </c>
      <c r="H406" s="636">
        <f>'4. Operating'!G149+0</f>
        <v>0</v>
      </c>
      <c r="I406" s="615" t="str">
        <f>IF('1. Description'!$E$141&gt;0,(E406/'1. Description'!$E$141),"          N/A")</f>
        <v xml:space="preserve">          N/A</v>
      </c>
      <c r="J406" s="587"/>
    </row>
    <row r="407" spans="1:11" ht="12.75">
      <c r="A407" s="584"/>
      <c r="B407" s="585" t="s">
        <v>73</v>
      </c>
      <c r="C407" s="585"/>
      <c r="D407" s="585"/>
      <c r="E407" s="592">
        <f>'4. Operating'!F150+0</f>
        <v>0</v>
      </c>
      <c r="F407" s="615" t="str">
        <f>IF('1. Description'!$I$72&gt;0,(E407/'1. Description'!$I$72),"          N/A")</f>
        <v xml:space="preserve">          N/A</v>
      </c>
      <c r="G407" s="615" t="str">
        <f>IF('1. Description'!$E$140&gt;0,(E407/'1. Description'!$E$140),"          N/A")</f>
        <v xml:space="preserve">          N/A</v>
      </c>
      <c r="H407" s="636">
        <f>'4. Operating'!G150+0</f>
        <v>0</v>
      </c>
      <c r="I407" s="615" t="str">
        <f>IF('1. Description'!$E$141&gt;0,(E407/'1. Description'!$E$141),"          N/A")</f>
        <v xml:space="preserve">          N/A</v>
      </c>
      <c r="J407" s="587"/>
    </row>
    <row r="408" spans="1:11" ht="12.75">
      <c r="A408" s="584"/>
      <c r="B408" s="585" t="s">
        <v>74</v>
      </c>
      <c r="C408" s="585"/>
      <c r="D408" s="585"/>
      <c r="E408" s="592">
        <f>'4. Operating'!F151+0</f>
        <v>0</v>
      </c>
      <c r="F408" s="615" t="str">
        <f>IF('1. Description'!$I$72&gt;0,(E408/'1. Description'!$I$72),"          N/A")</f>
        <v xml:space="preserve">          N/A</v>
      </c>
      <c r="G408" s="615" t="str">
        <f>IF('1. Description'!$E$140&gt;0,(E408/'1. Description'!$E$140),"          N/A")</f>
        <v xml:space="preserve">          N/A</v>
      </c>
      <c r="H408" s="636">
        <f>'4. Operating'!G151+0</f>
        <v>0</v>
      </c>
      <c r="I408" s="615" t="str">
        <f>IF('1. Description'!$E$141&gt;0,(E408/'1. Description'!$E$141),"          N/A")</f>
        <v xml:space="preserve">          N/A</v>
      </c>
      <c r="J408" s="587"/>
    </row>
    <row r="409" spans="1:11" ht="13.5" thickBot="1">
      <c r="A409" s="584"/>
      <c r="B409" s="585" t="s">
        <v>790</v>
      </c>
      <c r="C409" s="585"/>
      <c r="D409" s="585"/>
      <c r="E409" s="592">
        <f>'4. Operating'!F152+0</f>
        <v>0</v>
      </c>
      <c r="F409" s="615" t="str">
        <f>IF('1. Description'!$I$72&gt;0,(E409/'1. Description'!$I$72),"          N/A")</f>
        <v xml:space="preserve">          N/A</v>
      </c>
      <c r="G409" s="615" t="str">
        <f>IF('1. Description'!$E$140&gt;0,(E409/'1. Description'!$E$140),"          N/A")</f>
        <v xml:space="preserve">          N/A</v>
      </c>
      <c r="H409" s="636">
        <f>'4. Operating'!G152+0</f>
        <v>0</v>
      </c>
      <c r="I409" s="615" t="str">
        <f>IF('1. Description'!$E$141&gt;0,(E409/'1. Description'!$E$141),"          N/A")</f>
        <v xml:space="preserve">          N/A</v>
      </c>
      <c r="J409" s="587"/>
    </row>
    <row r="410" spans="1:11" ht="13.5" thickTop="1">
      <c r="A410" s="584"/>
      <c r="B410" s="593" t="s">
        <v>75</v>
      </c>
      <c r="C410" s="585"/>
      <c r="D410" s="585"/>
      <c r="E410" s="627">
        <f>'4. Operating'!F153+0</f>
        <v>0</v>
      </c>
      <c r="F410" s="637" t="str">
        <f>IF('1. Description'!$I$72&gt;0,(E410/'1. Description'!$I$72),"          N/A")</f>
        <v xml:space="preserve">          N/A</v>
      </c>
      <c r="G410" s="637" t="str">
        <f>IF('1. Description'!$E$140&gt;0,(E410/'1. Description'!$E$140),"          N/A")</f>
        <v xml:space="preserve">          N/A</v>
      </c>
      <c r="H410" s="638">
        <f>'4. Operating'!G153+0</f>
        <v>0</v>
      </c>
      <c r="I410" s="637" t="str">
        <f>IF('1. Description'!$E$141&gt;0,(E410/'1. Description'!$E$141),"          N/A")</f>
        <v xml:space="preserve">          N/A</v>
      </c>
      <c r="J410" s="587"/>
    </row>
    <row r="411" spans="1:11">
      <c r="A411" s="576"/>
      <c r="B411" s="577"/>
      <c r="C411" s="577"/>
      <c r="D411" s="577"/>
      <c r="E411" s="616"/>
      <c r="F411" s="617"/>
      <c r="G411" s="617"/>
      <c r="H411" s="616"/>
      <c r="I411" s="617"/>
      <c r="J411" s="579"/>
    </row>
    <row r="412" spans="1:11" ht="12.75">
      <c r="A412" s="584"/>
      <c r="B412" s="593" t="s">
        <v>76</v>
      </c>
      <c r="C412" s="585"/>
      <c r="D412" s="585"/>
      <c r="E412" s="592">
        <f>'4. Operating'!F155+0</f>
        <v>0</v>
      </c>
      <c r="F412" s="615" t="str">
        <f>IF('1. Description'!$I$72&gt;0,(E412/'1. Description'!$I$72),"          N/A")</f>
        <v xml:space="preserve">          N/A</v>
      </c>
      <c r="G412" s="615" t="str">
        <f>IF('1. Description'!$E$140&gt;0,(E412/'1. Description'!$E$140),"          N/A")</f>
        <v xml:space="preserve">          N/A</v>
      </c>
      <c r="H412" s="636">
        <f>'4. Operating'!G155+0</f>
        <v>0</v>
      </c>
      <c r="I412" s="615" t="str">
        <f>IF('1. Description'!$E$141&gt;0,(E412/'1. Description'!$E$141),"          N/A")</f>
        <v xml:space="preserve">          N/A</v>
      </c>
      <c r="J412" s="587"/>
      <c r="K412" s="451"/>
    </row>
    <row r="413" spans="1:11" ht="12.75">
      <c r="A413" s="584"/>
      <c r="B413" s="593" t="s">
        <v>1294</v>
      </c>
      <c r="C413" s="585"/>
      <c r="D413" s="585"/>
      <c r="E413" s="592">
        <f>'4. Operating'!F159+0</f>
        <v>0</v>
      </c>
      <c r="F413" s="615" t="str">
        <f>IF('1. Description'!$I$72&gt;0,(E413/'1. Description'!$I$72),"          N/A")</f>
        <v xml:space="preserve">          N/A</v>
      </c>
      <c r="G413" s="615" t="str">
        <f>IF('1. Description'!$E$140&gt;0,(E413/'1. Description'!$E$140),"          N/A")</f>
        <v xml:space="preserve">          N/A</v>
      </c>
      <c r="H413" s="636">
        <f>'4. Operating'!G159+0</f>
        <v>0</v>
      </c>
      <c r="I413" s="615" t="str">
        <f>IF('1. Description'!$E$141&gt;0,(E413/'1. Description'!$E$141),"          N/A")</f>
        <v xml:space="preserve">          N/A</v>
      </c>
      <c r="J413" s="587"/>
      <c r="K413" s="451"/>
    </row>
    <row r="414" spans="1:11">
      <c r="A414" s="576"/>
      <c r="B414" s="577"/>
      <c r="C414" s="577"/>
      <c r="D414" s="577"/>
      <c r="E414" s="616"/>
      <c r="F414" s="617"/>
      <c r="G414" s="617"/>
      <c r="H414" s="616"/>
      <c r="I414" s="617"/>
      <c r="J414" s="579"/>
    </row>
    <row r="415" spans="1:11" ht="12.75">
      <c r="A415" s="584"/>
      <c r="B415" s="585" t="s">
        <v>77</v>
      </c>
      <c r="C415" s="585"/>
      <c r="D415" s="585"/>
      <c r="E415" s="592">
        <f>'4. Operating'!F161+0</f>
        <v>0</v>
      </c>
      <c r="F415" s="615" t="str">
        <f>IF('1. Description'!$I$72&gt;0,(E415/'1. Description'!$I$72),"          N/A")</f>
        <v xml:space="preserve">          N/A</v>
      </c>
      <c r="G415" s="615" t="str">
        <f>IF('1. Description'!$E$140&gt;0,(E415/'1. Description'!$E$140),"          N/A")</f>
        <v xml:space="preserve">          N/A</v>
      </c>
      <c r="H415" s="636">
        <f>'4. Operating'!G161+0</f>
        <v>0</v>
      </c>
      <c r="I415" s="615" t="str">
        <f>IF('1. Description'!$E$141&gt;0,(E415/'1. Description'!$E$141),"          N/A")</f>
        <v xml:space="preserve">          N/A</v>
      </c>
      <c r="J415" s="587"/>
      <c r="K415" s="451"/>
    </row>
    <row r="416" spans="1:11" ht="12.75">
      <c r="A416" s="584"/>
      <c r="B416" s="585" t="s">
        <v>78</v>
      </c>
      <c r="C416" s="585"/>
      <c r="D416" s="585"/>
      <c r="E416" s="592">
        <f>'4. Operating'!F162+0</f>
        <v>0</v>
      </c>
      <c r="F416" s="615" t="str">
        <f>IF('1. Description'!$I$72&gt;0,(E416/'1. Description'!$I$72),"          N/A")</f>
        <v xml:space="preserve">          N/A</v>
      </c>
      <c r="G416" s="615" t="str">
        <f>IF('1. Description'!$E$140&gt;0,(E416/'1. Description'!$E$140),"          N/A")</f>
        <v xml:space="preserve">          N/A</v>
      </c>
      <c r="H416" s="636">
        <f>'4. Operating'!G162+0</f>
        <v>0</v>
      </c>
      <c r="I416" s="615" t="str">
        <f>IF('1. Description'!$E$141&gt;0,(E416/'1. Description'!$E$141),"          N/A")</f>
        <v xml:space="preserve">          N/A</v>
      </c>
      <c r="J416" s="587"/>
      <c r="K416" s="451"/>
    </row>
    <row r="417" spans="1:11" ht="12.75">
      <c r="A417" s="584"/>
      <c r="B417" s="585" t="s">
        <v>737</v>
      </c>
      <c r="C417" s="585"/>
      <c r="D417" s="585"/>
      <c r="E417" s="592">
        <f>'4. Operating'!F163+0</f>
        <v>0</v>
      </c>
      <c r="F417" s="615" t="str">
        <f>IF('1. Description'!$I$72&gt;0,(E417/'1. Description'!$I$72),"          N/A")</f>
        <v xml:space="preserve">          N/A</v>
      </c>
      <c r="G417" s="615" t="str">
        <f>IF('1. Description'!$E$140&gt;0,(E417/'1. Description'!$E$140),"          N/A")</f>
        <v xml:space="preserve">          N/A</v>
      </c>
      <c r="H417" s="636">
        <f>'4. Operating'!G163+0</f>
        <v>0</v>
      </c>
      <c r="I417" s="615" t="str">
        <f>IF('1. Description'!$E$141&gt;0,(E417/'1. Description'!$E$141),"          N/A")</f>
        <v xml:space="preserve">          N/A</v>
      </c>
      <c r="J417" s="587"/>
      <c r="K417" s="451"/>
    </row>
    <row r="418" spans="1:11" ht="13.5" thickBot="1">
      <c r="A418" s="584"/>
      <c r="B418" s="585" t="s">
        <v>79</v>
      </c>
      <c r="C418" s="585"/>
      <c r="D418" s="585"/>
      <c r="E418" s="592">
        <f>'4. Operating'!F164+0</f>
        <v>0</v>
      </c>
      <c r="F418" s="615" t="str">
        <f>IF('1. Description'!$I$72&gt;0,(E418/'1. Description'!$I$72),"          N/A")</f>
        <v xml:space="preserve">          N/A</v>
      </c>
      <c r="G418" s="615" t="str">
        <f>IF('1. Description'!$E$140&gt;0,(E418/'1. Description'!$E$140),"          N/A")</f>
        <v xml:space="preserve">          N/A</v>
      </c>
      <c r="H418" s="636">
        <f>'4. Operating'!G164+0</f>
        <v>0</v>
      </c>
      <c r="I418" s="615" t="str">
        <f>IF('1. Description'!$E$141&gt;0,(E418/'1. Description'!$E$141),"          N/A")</f>
        <v xml:space="preserve">          N/A</v>
      </c>
      <c r="J418" s="587"/>
      <c r="K418" s="451"/>
    </row>
    <row r="419" spans="1:11" ht="13.5" thickTop="1">
      <c r="A419" s="584"/>
      <c r="B419" s="593" t="s">
        <v>80</v>
      </c>
      <c r="C419" s="585"/>
      <c r="D419" s="585"/>
      <c r="E419" s="627">
        <f>'4. Operating'!F165+0</f>
        <v>0</v>
      </c>
      <c r="F419" s="637" t="str">
        <f>IF('1. Description'!$I$72&gt;0,(E419/'1. Description'!$I$72),"          N/A")</f>
        <v xml:space="preserve">          N/A</v>
      </c>
      <c r="G419" s="637" t="str">
        <f>IF('1. Description'!$E$140&gt;0,(E419/'1. Description'!$E$140),"          N/A")</f>
        <v xml:space="preserve">          N/A</v>
      </c>
      <c r="H419" s="638">
        <f>'4. Operating'!G165+0</f>
        <v>0</v>
      </c>
      <c r="I419" s="637" t="str">
        <f>IF('1. Description'!$E$141&gt;0,(E419/'1. Description'!$E$141),"          N/A")</f>
        <v xml:space="preserve">          N/A</v>
      </c>
      <c r="J419" s="587"/>
      <c r="K419" s="451"/>
    </row>
    <row r="420" spans="1:11">
      <c r="A420" s="576"/>
      <c r="B420" s="577"/>
      <c r="C420" s="577"/>
      <c r="D420" s="577"/>
      <c r="E420" s="616"/>
      <c r="F420" s="617"/>
      <c r="G420" s="617"/>
      <c r="H420" s="616"/>
      <c r="I420" s="617"/>
      <c r="J420" s="579"/>
    </row>
    <row r="421" spans="1:11" ht="12.75">
      <c r="A421" s="584"/>
      <c r="B421" s="593" t="s">
        <v>81</v>
      </c>
      <c r="C421" s="585"/>
      <c r="D421" s="585"/>
      <c r="E421" s="592">
        <f>'4. Operating'!F167+0</f>
        <v>0</v>
      </c>
      <c r="F421" s="615" t="str">
        <f>IF('1. Description'!$I$72&gt;0,(E421/'1. Description'!$I$72),"          N/A")</f>
        <v xml:space="preserve">          N/A</v>
      </c>
      <c r="G421" s="615" t="str">
        <f>IF('1. Description'!$E$140&gt;0,(E421/'1. Description'!$E$140),"          N/A")</f>
        <v xml:space="preserve">          N/A</v>
      </c>
      <c r="H421" s="636">
        <f>'4. Operating'!G167+0</f>
        <v>0</v>
      </c>
      <c r="I421" s="615" t="str">
        <f>IF('1. Description'!$E$141&gt;0,(E421/'1. Description'!$E$141),"          N/A")</f>
        <v xml:space="preserve">          N/A</v>
      </c>
      <c r="J421" s="587"/>
      <c r="K421" s="451"/>
    </row>
    <row r="422" spans="1:11">
      <c r="A422" s="576"/>
      <c r="B422" s="635"/>
      <c r="C422" s="577"/>
      <c r="D422" s="577"/>
      <c r="E422" s="616"/>
      <c r="F422" s="617"/>
      <c r="G422" s="617"/>
      <c r="H422" s="616"/>
      <c r="I422" s="617"/>
      <c r="J422" s="579"/>
    </row>
    <row r="423" spans="1:11" ht="12.75">
      <c r="A423" s="584"/>
      <c r="B423" s="593" t="s">
        <v>82</v>
      </c>
      <c r="C423" s="585"/>
      <c r="D423" s="585"/>
      <c r="E423" s="592">
        <f>'4. Operating'!F169+0</f>
        <v>0</v>
      </c>
      <c r="F423" s="615" t="str">
        <f>IF('1. Description'!$I$72&gt;0,(E423/'1. Description'!$I$72),"          N/A")</f>
        <v xml:space="preserve">          N/A</v>
      </c>
      <c r="G423" s="615" t="str">
        <f>IF('1. Description'!$E$140&gt;0,(E423/'1. Description'!$E$140),"          N/A")</f>
        <v xml:space="preserve">          N/A</v>
      </c>
      <c r="H423" s="636">
        <f>'4. Operating'!G169+0</f>
        <v>0</v>
      </c>
      <c r="I423" s="615" t="str">
        <f>IF('1. Description'!$E$141&gt;0,(E423/'1. Description'!$E$141),"          N/A")</f>
        <v xml:space="preserve">          N/A</v>
      </c>
      <c r="J423" s="587"/>
      <c r="K423" s="451"/>
    </row>
    <row r="424" spans="1:11">
      <c r="A424" s="576"/>
      <c r="B424" s="577"/>
      <c r="C424" s="577"/>
      <c r="D424" s="577"/>
      <c r="E424" s="616"/>
      <c r="F424" s="617"/>
      <c r="G424" s="617"/>
      <c r="H424" s="616"/>
      <c r="I424" s="617"/>
      <c r="J424" s="579"/>
    </row>
    <row r="425" spans="1:11" ht="12.75">
      <c r="A425" s="584"/>
      <c r="B425" s="585" t="s">
        <v>1290</v>
      </c>
      <c r="C425" s="585"/>
      <c r="D425" s="585"/>
      <c r="E425" s="592">
        <f>'4. Operating'!F171+0</f>
        <v>0</v>
      </c>
      <c r="F425" s="615" t="str">
        <f>IF('1. Description'!$I$72&gt;0,(E425/'1. Description'!$I$72),"          N/A")</f>
        <v xml:space="preserve">          N/A</v>
      </c>
      <c r="G425" s="615" t="str">
        <f>IF('1. Description'!$E$140&gt;0,(E425/'1. Description'!$E$140),"          N/A")</f>
        <v xml:space="preserve">          N/A</v>
      </c>
      <c r="H425" s="636">
        <f>'4. Operating'!G171+0</f>
        <v>0</v>
      </c>
      <c r="I425" s="615" t="str">
        <f>IF('1. Description'!$E$141&gt;0,(E425/'1. Description'!$E$141),"          N/A")</f>
        <v xml:space="preserve">          N/A</v>
      </c>
      <c r="J425" s="587"/>
      <c r="K425" s="451"/>
    </row>
    <row r="426" spans="1:11" ht="12.75">
      <c r="A426" s="584"/>
      <c r="B426" s="585" t="s">
        <v>83</v>
      </c>
      <c r="C426" s="585"/>
      <c r="D426" s="585"/>
      <c r="E426" s="592">
        <f>'4. Operating'!F172+0</f>
        <v>0</v>
      </c>
      <c r="F426" s="615" t="str">
        <f>IF('1. Description'!$I$72&gt;0,(E426/'1. Description'!$I$72),"          N/A")</f>
        <v xml:space="preserve">          N/A</v>
      </c>
      <c r="G426" s="615" t="str">
        <f>IF('1. Description'!$E$140&gt;0,(E426/'1. Description'!$E$140),"          N/A")</f>
        <v xml:space="preserve">          N/A</v>
      </c>
      <c r="H426" s="636">
        <f>'4. Operating'!G172+0</f>
        <v>0</v>
      </c>
      <c r="I426" s="615" t="str">
        <f>IF('1. Description'!$E$141&gt;0,(E426/'1. Description'!$E$141),"          N/A")</f>
        <v xml:space="preserve">          N/A</v>
      </c>
      <c r="J426" s="587"/>
      <c r="K426" s="451"/>
    </row>
    <row r="427" spans="1:11" ht="12.75">
      <c r="A427" s="584"/>
      <c r="B427" s="585" t="str">
        <f>'4. Operating'!C173</f>
        <v>Insurance</v>
      </c>
      <c r="C427" s="585"/>
      <c r="D427" s="585"/>
      <c r="E427" s="592">
        <f>'4. Operating'!F173+0</f>
        <v>0</v>
      </c>
      <c r="F427" s="615" t="str">
        <f>IF('1. Description'!$I$72&gt;0,(E427/'1. Description'!$I$72),"          N/A")</f>
        <v xml:space="preserve">          N/A</v>
      </c>
      <c r="G427" s="615" t="str">
        <f>IF('1. Description'!$E$140&gt;0,(E427/'1. Description'!$E$140),"          N/A")</f>
        <v xml:space="preserve">          N/A</v>
      </c>
      <c r="H427" s="636">
        <f>'4. Operating'!G173+0</f>
        <v>0</v>
      </c>
      <c r="I427" s="615" t="str">
        <f>IF('1. Description'!$E$141&gt;0,(E427/'1. Description'!$E$141),"          N/A")</f>
        <v xml:space="preserve">          N/A</v>
      </c>
      <c r="J427" s="587"/>
      <c r="K427" s="451"/>
    </row>
    <row r="428" spans="1:11" ht="12.75">
      <c r="A428" s="584"/>
      <c r="B428" s="585" t="str">
        <f>'4. Operating'!C174</f>
        <v>MIP</v>
      </c>
      <c r="C428" s="585"/>
      <c r="D428" s="585"/>
      <c r="E428" s="592">
        <f>'4. Operating'!F174+0</f>
        <v>0</v>
      </c>
      <c r="F428" s="615" t="str">
        <f>IF('1. Description'!$I$72&gt;0,(E428/'1. Description'!$I$72),"          N/A")</f>
        <v xml:space="preserve">          N/A</v>
      </c>
      <c r="G428" s="615" t="str">
        <f>IF('1. Description'!$E$140&gt;0,(E428/'1. Description'!$E$140),"          N/A")</f>
        <v xml:space="preserve">          N/A</v>
      </c>
      <c r="H428" s="636">
        <f>'4. Operating'!G174+0</f>
        <v>0</v>
      </c>
      <c r="I428" s="615" t="str">
        <f>IF('1. Description'!$E$141&gt;0,(E428/'1. Description'!$E$141),"          N/A")</f>
        <v xml:space="preserve">          N/A</v>
      </c>
      <c r="J428" s="587"/>
      <c r="K428" s="451"/>
    </row>
    <row r="429" spans="1:11" ht="13.5" thickBot="1">
      <c r="A429" s="584"/>
      <c r="B429" s="585" t="str">
        <f>'4. Operating'!C175</f>
        <v>Other:</v>
      </c>
      <c r="C429" s="585"/>
      <c r="D429" s="585"/>
      <c r="E429" s="592">
        <f>'4. Operating'!F175+0</f>
        <v>0</v>
      </c>
      <c r="F429" s="615" t="str">
        <f>IF('1. Description'!$I$72&gt;0,(E429/'1. Description'!$I$72),"          N/A")</f>
        <v xml:space="preserve">          N/A</v>
      </c>
      <c r="G429" s="615" t="str">
        <f>IF('1. Description'!$E$140&gt;0,(E429/'1. Description'!$E$140),"          N/A")</f>
        <v xml:space="preserve">          N/A</v>
      </c>
      <c r="H429" s="636">
        <f>'4. Operating'!G175+0</f>
        <v>0</v>
      </c>
      <c r="I429" s="615" t="str">
        <f>IF('1. Description'!$E$141&gt;0,(E429/'1. Description'!$E$141),"          N/A")</f>
        <v xml:space="preserve">          N/A</v>
      </c>
      <c r="J429" s="587"/>
      <c r="K429" s="451"/>
    </row>
    <row r="430" spans="1:11" ht="13.5" thickTop="1">
      <c r="A430" s="584"/>
      <c r="B430" s="593" t="s">
        <v>85</v>
      </c>
      <c r="C430" s="585"/>
      <c r="D430" s="585"/>
      <c r="E430" s="627">
        <f>'4. Operating'!F176+0</f>
        <v>0</v>
      </c>
      <c r="F430" s="637" t="str">
        <f>IF('1. Description'!$I$72&gt;0,(E430/'1. Description'!$I$72),"          N/A")</f>
        <v xml:space="preserve">          N/A</v>
      </c>
      <c r="G430" s="637" t="str">
        <f>IF('1. Description'!$E$140&gt;0,(E430/'1. Description'!$E$140),"          N/A")</f>
        <v xml:space="preserve">          N/A</v>
      </c>
      <c r="H430" s="638">
        <f>'4. Operating'!G176+0</f>
        <v>0</v>
      </c>
      <c r="I430" s="637" t="str">
        <f>IF('1. Description'!$E$141&gt;0,(E430/'1. Description'!$E$141),"          N/A")</f>
        <v xml:space="preserve">          N/A</v>
      </c>
      <c r="J430" s="587"/>
      <c r="K430" s="451"/>
    </row>
    <row r="431" spans="1:11">
      <c r="A431" s="576"/>
      <c r="B431" s="577"/>
      <c r="C431" s="577"/>
      <c r="D431" s="577"/>
      <c r="E431" s="616"/>
      <c r="F431" s="617"/>
      <c r="G431" s="617"/>
      <c r="H431" s="616"/>
      <c r="I431" s="617"/>
      <c r="J431" s="579"/>
      <c r="K431" s="486"/>
    </row>
    <row r="432" spans="1:11" ht="12.75">
      <c r="A432" s="584"/>
      <c r="B432" s="593" t="s">
        <v>86</v>
      </c>
      <c r="C432" s="585"/>
      <c r="D432" s="585"/>
      <c r="E432" s="592">
        <f>'4. Operating'!F178+0</f>
        <v>0</v>
      </c>
      <c r="F432" s="615" t="str">
        <f>IF('1. Description'!$I$72&gt;0,(E432/'1. Description'!$I$72),"          N/A")</f>
        <v xml:space="preserve">          N/A</v>
      </c>
      <c r="G432" s="615" t="str">
        <f>IF('1. Description'!$E$140&gt;0,(E432/'1. Description'!$E$140),"          N/A")</f>
        <v xml:space="preserve">          N/A</v>
      </c>
      <c r="H432" s="636">
        <f>'4. Operating'!G178+0</f>
        <v>0</v>
      </c>
      <c r="I432" s="615" t="str">
        <f>IF('1. Description'!$E$141&gt;0,(E432/'1. Description'!$E$141),"          N/A")</f>
        <v xml:space="preserve">          N/A</v>
      </c>
      <c r="J432" s="587"/>
      <c r="K432" s="451"/>
    </row>
    <row r="433" spans="1:10">
      <c r="A433" s="576"/>
      <c r="B433" s="577"/>
      <c r="C433" s="577"/>
      <c r="D433" s="577"/>
      <c r="E433" s="577"/>
      <c r="F433" s="577"/>
      <c r="G433" s="577"/>
      <c r="H433" s="577"/>
      <c r="I433" s="577"/>
      <c r="J433" s="579"/>
    </row>
    <row r="434" spans="1:10">
      <c r="A434" s="576"/>
      <c r="B434" s="577"/>
      <c r="C434" s="577"/>
      <c r="D434" s="577"/>
      <c r="E434" s="577"/>
      <c r="F434" s="577"/>
      <c r="G434" s="577"/>
      <c r="H434" s="577"/>
      <c r="I434" s="577"/>
      <c r="J434" s="579"/>
    </row>
    <row r="435" spans="1:10">
      <c r="A435" s="576"/>
      <c r="B435" s="577"/>
      <c r="C435" s="577"/>
      <c r="D435" s="577"/>
      <c r="E435" s="577"/>
      <c r="F435" s="577"/>
      <c r="G435" s="577"/>
      <c r="H435" s="577"/>
      <c r="I435" s="577"/>
      <c r="J435" s="579"/>
    </row>
    <row r="436" spans="1:10" ht="12" thickBot="1">
      <c r="A436" s="598"/>
      <c r="B436" s="599"/>
      <c r="C436" s="599"/>
      <c r="D436" s="599"/>
      <c r="E436" s="599"/>
      <c r="F436" s="599"/>
      <c r="G436" s="599"/>
      <c r="H436" s="599"/>
      <c r="I436" s="599"/>
      <c r="J436" s="600"/>
    </row>
    <row r="437" spans="1:10">
      <c r="A437" s="568"/>
      <c r="B437" s="568">
        <f>PROJNAME</f>
        <v>0</v>
      </c>
      <c r="C437" s="568"/>
      <c r="D437" s="568"/>
      <c r="E437" s="568"/>
      <c r="F437" s="568"/>
      <c r="G437" s="827" t="e">
        <f>'1. Description'!$G$59</f>
        <v>#VALUE!</v>
      </c>
      <c r="H437" s="568"/>
      <c r="I437" s="828" t="e">
        <f>'1. Description'!$H$59</f>
        <v>#VALUE!</v>
      </c>
      <c r="J437" s="567"/>
    </row>
    <row r="438" spans="1:10" ht="13.5" thickBot="1">
      <c r="A438" s="359" t="str">
        <f>'2. Dev. Team'!A1</f>
        <v>One Stop2000 Affordable Housing Finance Application [Version 1.21] ©</v>
      </c>
      <c r="B438" s="567"/>
      <c r="C438" s="567"/>
      <c r="D438" s="567"/>
      <c r="E438" s="567"/>
      <c r="F438" s="567"/>
      <c r="G438" s="567"/>
      <c r="H438" s="601" t="s">
        <v>511</v>
      </c>
      <c r="I438" s="601"/>
      <c r="J438" s="601"/>
    </row>
    <row r="439" spans="1:10" ht="26.25" thickBot="1">
      <c r="A439" s="602" t="s">
        <v>512</v>
      </c>
      <c r="B439" s="603"/>
      <c r="C439" s="603"/>
      <c r="D439" s="603"/>
      <c r="E439" s="603"/>
      <c r="F439" s="603"/>
      <c r="G439" s="603"/>
      <c r="H439" s="603"/>
      <c r="I439" s="603"/>
      <c r="J439" s="604"/>
    </row>
    <row r="440" spans="1:10" s="78" customFormat="1" ht="16.5" thickTop="1" thickBot="1">
      <c r="A440" s="639" t="s">
        <v>459</v>
      </c>
      <c r="B440" s="640"/>
      <c r="C440" s="640"/>
      <c r="D440" s="640"/>
      <c r="E440" s="640"/>
      <c r="F440" s="640"/>
      <c r="G440" s="640"/>
      <c r="H440" s="640"/>
      <c r="I440" s="640"/>
      <c r="J440" s="641"/>
    </row>
    <row r="441" spans="1:10" ht="12" thickTop="1">
      <c r="A441" s="576"/>
      <c r="B441" s="577"/>
      <c r="C441" s="577"/>
      <c r="D441" s="577"/>
      <c r="E441" s="577"/>
      <c r="F441" s="577"/>
      <c r="G441" s="577"/>
      <c r="H441" s="577"/>
      <c r="I441" s="577"/>
      <c r="J441" s="579"/>
    </row>
    <row r="442" spans="1:10" ht="12.75">
      <c r="A442" s="576"/>
      <c r="B442" s="577"/>
      <c r="C442" s="577"/>
      <c r="D442" s="577"/>
      <c r="E442" s="595" t="s">
        <v>1263</v>
      </c>
      <c r="F442" s="595" t="s">
        <v>1263</v>
      </c>
      <c r="G442" s="595" t="s">
        <v>1263</v>
      </c>
      <c r="H442" s="595" t="s">
        <v>1264</v>
      </c>
      <c r="I442" s="595" t="s">
        <v>1264</v>
      </c>
      <c r="J442" s="579"/>
    </row>
    <row r="443" spans="1:10" ht="12.75">
      <c r="A443" s="576"/>
      <c r="B443" s="635"/>
      <c r="C443" s="577"/>
      <c r="D443" s="577"/>
      <c r="E443" s="595" t="s">
        <v>657</v>
      </c>
      <c r="F443" s="595" t="s">
        <v>509</v>
      </c>
      <c r="G443" s="595" t="s">
        <v>510</v>
      </c>
      <c r="H443" s="595" t="s">
        <v>657</v>
      </c>
      <c r="I443" s="595" t="s">
        <v>510</v>
      </c>
      <c r="J443" s="579"/>
    </row>
    <row r="444" spans="1:10">
      <c r="A444" s="576"/>
      <c r="B444" s="577"/>
      <c r="C444" s="577"/>
      <c r="D444" s="577"/>
      <c r="E444" s="577"/>
      <c r="F444" s="577"/>
      <c r="G444" s="577"/>
      <c r="H444" s="577"/>
      <c r="I444" s="577"/>
      <c r="J444" s="579"/>
    </row>
    <row r="445" spans="1:10" ht="12.75">
      <c r="A445" s="584"/>
      <c r="B445" s="585"/>
      <c r="C445" s="585" t="s">
        <v>1266</v>
      </c>
      <c r="D445" s="585"/>
      <c r="E445" s="592">
        <f>'3. Sources Uses'!F127+0</f>
        <v>0</v>
      </c>
      <c r="F445" s="592" t="str">
        <f>IF('1. Description'!$I$72&gt;0,(E445/'1. Description'!$I$72),"          N/A")</f>
        <v xml:space="preserve">          N/A</v>
      </c>
      <c r="G445" s="615" t="str">
        <f>IF('1. Description'!$E$140&gt;0,(E445/'1. Description'!$E$140),"          N/A")</f>
        <v xml:space="preserve">          N/A</v>
      </c>
      <c r="H445" s="636">
        <f>'3. Sources Uses'!G127+0</f>
        <v>0</v>
      </c>
      <c r="I445" s="615" t="str">
        <f>IF('1. Description'!$E$141&gt;0,(H445/'1. Description'!$E$141),"          N/A")</f>
        <v xml:space="preserve">          N/A</v>
      </c>
      <c r="J445" s="587"/>
    </row>
    <row r="446" spans="1:10" ht="13.5" thickBot="1">
      <c r="A446" s="584"/>
      <c r="B446" s="585"/>
      <c r="C446" s="585" t="s">
        <v>1267</v>
      </c>
      <c r="D446" s="585"/>
      <c r="E446" s="642">
        <f>'3. Sources Uses'!F128+0</f>
        <v>0</v>
      </c>
      <c r="F446" s="642" t="str">
        <f>IF('1. Description'!$I$72&gt;0,(E446/'1. Description'!$I$72),"          N/A")</f>
        <v xml:space="preserve">          N/A</v>
      </c>
      <c r="G446" s="643" t="str">
        <f>IF('1. Description'!$E$140&gt;0,(E446/'1. Description'!$E$140),"          N/A")</f>
        <v xml:space="preserve">          N/A</v>
      </c>
      <c r="H446" s="644">
        <f>'3. Sources Uses'!G128+0</f>
        <v>0</v>
      </c>
      <c r="I446" s="643" t="str">
        <f>IF('1. Description'!$E$141&gt;0,(H446/'1. Description'!$E$141),"          N/A")</f>
        <v xml:space="preserve">          N/A</v>
      </c>
      <c r="J446" s="587"/>
    </row>
    <row r="447" spans="1:10" ht="13.5" thickTop="1">
      <c r="A447" s="584"/>
      <c r="B447" s="585"/>
      <c r="C447" s="593" t="s">
        <v>1268</v>
      </c>
      <c r="D447" s="585"/>
      <c r="E447" s="592">
        <f>'3. Sources Uses'!F129+0</f>
        <v>0</v>
      </c>
      <c r="F447" s="592" t="str">
        <f>IF('1. Description'!$I$72&gt;0,(E447/'1. Description'!$I$72),"          N/A")</f>
        <v xml:space="preserve">          N/A</v>
      </c>
      <c r="G447" s="615" t="str">
        <f>IF('1. Description'!$E$140&gt;0,(E447/'1. Description'!$E$140),"          N/A")</f>
        <v xml:space="preserve">          N/A</v>
      </c>
      <c r="H447" s="636">
        <f>'3. Sources Uses'!G129+0</f>
        <v>0</v>
      </c>
      <c r="I447" s="615" t="str">
        <f>IF('1. Description'!$E$141&gt;0,(H447/'1. Description'!$E$141),"          N/A")</f>
        <v xml:space="preserve">          N/A</v>
      </c>
      <c r="J447" s="587"/>
    </row>
    <row r="448" spans="1:10">
      <c r="A448" s="576"/>
      <c r="B448" s="577"/>
      <c r="C448" s="577"/>
      <c r="D448" s="577"/>
      <c r="E448" s="616"/>
      <c r="F448" s="616"/>
      <c r="G448" s="617"/>
      <c r="H448" s="616"/>
      <c r="I448" s="617"/>
      <c r="J448" s="579"/>
    </row>
    <row r="449" spans="1:10" ht="12.75">
      <c r="A449" s="584"/>
      <c r="B449" s="585"/>
      <c r="C449" s="585" t="s">
        <v>1269</v>
      </c>
      <c r="D449" s="585"/>
      <c r="E449" s="592">
        <f>'3. Sources Uses'!F131+0</f>
        <v>0</v>
      </c>
      <c r="F449" s="592" t="str">
        <f>IF('1. Description'!$I$72&gt;0,(E449/'1. Description'!$I$72),"          N/A")</f>
        <v xml:space="preserve">          N/A</v>
      </c>
      <c r="G449" s="615" t="str">
        <f>IF('1. Description'!$E$140&gt;0,(E449/'1. Description'!$E$140),"          N/A")</f>
        <v xml:space="preserve">          N/A</v>
      </c>
      <c r="H449" s="636">
        <f>'3. Sources Uses'!G131+0</f>
        <v>0</v>
      </c>
      <c r="I449" s="615" t="str">
        <f>IF('1. Description'!$E$141&gt;0,(H449/'1. Description'!$E$141),"          N/A")</f>
        <v xml:space="preserve">          N/A</v>
      </c>
      <c r="J449" s="587"/>
    </row>
    <row r="450" spans="1:10" ht="13.5" thickBot="1">
      <c r="A450" s="584"/>
      <c r="B450" s="585"/>
      <c r="C450" s="585" t="s">
        <v>1270</v>
      </c>
      <c r="D450" s="585"/>
      <c r="E450" s="642">
        <f>'3. Sources Uses'!F132+0</f>
        <v>0</v>
      </c>
      <c r="F450" s="642" t="str">
        <f>IF('1. Description'!$I$72&gt;0,(E450/'1. Description'!$I$72),"          N/A")</f>
        <v xml:space="preserve">          N/A</v>
      </c>
      <c r="G450" s="643" t="str">
        <f>IF('1. Description'!$E$140&gt;0,(E450/'1. Description'!$E$140),"          N/A")</f>
        <v xml:space="preserve">          N/A</v>
      </c>
      <c r="H450" s="644">
        <f>'3. Sources Uses'!G132+0</f>
        <v>0</v>
      </c>
      <c r="I450" s="643" t="str">
        <f>IF('1. Description'!$E$141&gt;0,(H450/'1. Description'!$E$141),"          N/A")</f>
        <v xml:space="preserve">          N/A</v>
      </c>
      <c r="J450" s="587"/>
    </row>
    <row r="451" spans="1:10" ht="13.5" thickTop="1">
      <c r="A451" s="584"/>
      <c r="B451" s="585"/>
      <c r="C451" s="593" t="s">
        <v>1273</v>
      </c>
      <c r="D451" s="585"/>
      <c r="E451" s="592">
        <f>'3. Sources Uses'!F133+0</f>
        <v>0</v>
      </c>
      <c r="F451" s="592" t="str">
        <f>IF('1. Description'!$I$72&gt;0,(E451/'1. Description'!$I$72),"          N/A")</f>
        <v xml:space="preserve">          N/A</v>
      </c>
      <c r="G451" s="615" t="str">
        <f>IF('1. Description'!$E$140&gt;0,(E451/'1. Description'!$E$140),"          N/A")</f>
        <v xml:space="preserve">          N/A</v>
      </c>
      <c r="H451" s="636">
        <f>'3. Sources Uses'!G133+0</f>
        <v>0</v>
      </c>
      <c r="I451" s="615" t="str">
        <f>IF('1. Description'!$E$141&gt;0,(H451/'1. Description'!$E$141),"          N/A")</f>
        <v xml:space="preserve">          N/A</v>
      </c>
      <c r="J451" s="587"/>
    </row>
    <row r="452" spans="1:10">
      <c r="A452" s="576"/>
      <c r="B452" s="577"/>
      <c r="C452" s="577"/>
      <c r="D452" s="577"/>
      <c r="E452" s="616"/>
      <c r="F452" s="616"/>
      <c r="G452" s="617"/>
      <c r="H452" s="616"/>
      <c r="I452" s="617"/>
      <c r="J452" s="579"/>
    </row>
    <row r="453" spans="1:10" ht="12.75">
      <c r="A453" s="584"/>
      <c r="B453" s="585"/>
      <c r="C453" s="593" t="s">
        <v>1274</v>
      </c>
      <c r="D453" s="585"/>
      <c r="E453" s="597"/>
      <c r="F453" s="597"/>
      <c r="G453" s="618"/>
      <c r="H453" s="597"/>
      <c r="I453" s="618"/>
      <c r="J453" s="587"/>
    </row>
    <row r="454" spans="1:10" ht="12.75">
      <c r="A454" s="584"/>
      <c r="B454" s="585"/>
      <c r="C454" s="585" t="s">
        <v>1275</v>
      </c>
      <c r="D454" s="585"/>
      <c r="E454" s="592">
        <f>'3. Sources Uses'!F136+0</f>
        <v>0</v>
      </c>
      <c r="F454" s="592" t="str">
        <f>IF('1. Description'!$I$72&gt;0,(E454/'1. Description'!$I$72),"          N/A")</f>
        <v xml:space="preserve">          N/A</v>
      </c>
      <c r="G454" s="615" t="str">
        <f>IF('1. Description'!$E$140&gt;0,(E454/'1. Description'!$E$140),"          N/A")</f>
        <v xml:space="preserve">          N/A</v>
      </c>
      <c r="H454" s="636">
        <f>'3. Sources Uses'!G136+0</f>
        <v>0</v>
      </c>
      <c r="I454" s="615" t="str">
        <f>IF('1. Description'!$E$141&gt;0,(H454/'1. Description'!$E$141),"          N/A")</f>
        <v xml:space="preserve">          N/A</v>
      </c>
      <c r="J454" s="587"/>
    </row>
    <row r="455" spans="1:10" ht="12.75">
      <c r="A455" s="584"/>
      <c r="B455" s="585"/>
      <c r="C455" s="585" t="s">
        <v>1276</v>
      </c>
      <c r="D455" s="585"/>
      <c r="E455" s="592">
        <f>'3. Sources Uses'!F137+0</f>
        <v>0</v>
      </c>
      <c r="F455" s="592" t="str">
        <f>IF('1. Description'!$I$72&gt;0,(E455/'1. Description'!$I$72),"          N/A")</f>
        <v xml:space="preserve">          N/A</v>
      </c>
      <c r="G455" s="615" t="str">
        <f>IF('1. Description'!$E$140&gt;0,(E455/'1. Description'!$E$140),"          N/A")</f>
        <v xml:space="preserve">          N/A</v>
      </c>
      <c r="H455" s="636">
        <f>'3. Sources Uses'!G137+0</f>
        <v>0</v>
      </c>
      <c r="I455" s="615" t="str">
        <f>IF('1. Description'!$E$141&gt;0,(H455/'1. Description'!$E$141),"          N/A")</f>
        <v xml:space="preserve">          N/A</v>
      </c>
      <c r="J455" s="587"/>
    </row>
    <row r="456" spans="1:10" ht="12.75">
      <c r="A456" s="584"/>
      <c r="B456" s="585"/>
      <c r="C456" s="585" t="s">
        <v>1277</v>
      </c>
      <c r="D456" s="585"/>
      <c r="E456" s="592">
        <f>'3. Sources Uses'!F138+0</f>
        <v>0</v>
      </c>
      <c r="F456" s="592" t="str">
        <f>IF('1. Description'!$I$72&gt;0,(E456/'1. Description'!$I$72),"          N/A")</f>
        <v xml:space="preserve">          N/A</v>
      </c>
      <c r="G456" s="615" t="str">
        <f>IF('1. Description'!$E$140&gt;0,(E456/'1. Description'!$E$140),"          N/A")</f>
        <v xml:space="preserve">          N/A</v>
      </c>
      <c r="H456" s="636">
        <f>'3. Sources Uses'!G138+0</f>
        <v>0</v>
      </c>
      <c r="I456" s="615" t="str">
        <f>IF('1. Description'!$E$141&gt;0,(H456/'1. Description'!$E$141),"          N/A")</f>
        <v xml:space="preserve">          N/A</v>
      </c>
      <c r="J456" s="587"/>
    </row>
    <row r="457" spans="1:10" ht="12.75">
      <c r="A457" s="584"/>
      <c r="B457" s="585"/>
      <c r="C457" s="585" t="s">
        <v>1278</v>
      </c>
      <c r="D457" s="585"/>
      <c r="E457" s="592">
        <f>'3. Sources Uses'!F139+0</f>
        <v>0</v>
      </c>
      <c r="F457" s="592" t="str">
        <f>IF('1. Description'!$I$72&gt;0,(E457/'1. Description'!$I$72),"          N/A")</f>
        <v xml:space="preserve">          N/A</v>
      </c>
      <c r="G457" s="615" t="str">
        <f>IF('1. Description'!$E$140&gt;0,(E457/'1. Description'!$E$140),"          N/A")</f>
        <v xml:space="preserve">          N/A</v>
      </c>
      <c r="H457" s="636">
        <f>'3. Sources Uses'!G139+0</f>
        <v>0</v>
      </c>
      <c r="I457" s="615" t="str">
        <f>IF('1. Description'!$E$141&gt;0,(H457/'1. Description'!$E$141),"          N/A")</f>
        <v xml:space="preserve">          N/A</v>
      </c>
      <c r="J457" s="587"/>
    </row>
    <row r="458" spans="1:10" ht="12.75">
      <c r="A458" s="584"/>
      <c r="B458" s="585"/>
      <c r="C458" s="585" t="s">
        <v>1279</v>
      </c>
      <c r="D458" s="585"/>
      <c r="E458" s="592">
        <f>'3. Sources Uses'!F140+0</f>
        <v>0</v>
      </c>
      <c r="F458" s="592" t="str">
        <f>IF('1. Description'!$I$72&gt;0,(E458/'1. Description'!$I$72),"          N/A")</f>
        <v xml:space="preserve">          N/A</v>
      </c>
      <c r="G458" s="615" t="str">
        <f>IF('1. Description'!$E$140&gt;0,(E458/'1. Description'!$E$140),"          N/A")</f>
        <v xml:space="preserve">          N/A</v>
      </c>
      <c r="H458" s="636">
        <f>'3. Sources Uses'!G140+0</f>
        <v>0</v>
      </c>
      <c r="I458" s="615" t="str">
        <f>IF('1. Description'!$E$141&gt;0,(H458/'1. Description'!$E$141),"          N/A")</f>
        <v xml:space="preserve">          N/A</v>
      </c>
      <c r="J458" s="587"/>
    </row>
    <row r="459" spans="1:10" ht="12.75">
      <c r="A459" s="584"/>
      <c r="B459" s="585"/>
      <c r="C459" s="585" t="s">
        <v>1280</v>
      </c>
      <c r="D459" s="585"/>
      <c r="E459" s="592">
        <f>'3. Sources Uses'!F141+0</f>
        <v>0</v>
      </c>
      <c r="F459" s="592" t="str">
        <f>IF('1. Description'!$I$72&gt;0,(E459/'1. Description'!$I$72),"          N/A")</f>
        <v xml:space="preserve">          N/A</v>
      </c>
      <c r="G459" s="615" t="str">
        <f>IF('1. Description'!$E$140&gt;0,(E459/'1. Description'!$E$140),"          N/A")</f>
        <v xml:space="preserve">          N/A</v>
      </c>
      <c r="H459" s="636">
        <f>'3. Sources Uses'!G141+0</f>
        <v>0</v>
      </c>
      <c r="I459" s="615" t="str">
        <f>IF('1. Description'!$E$141&gt;0,(H459/'1. Description'!$E$141),"          N/A")</f>
        <v xml:space="preserve">          N/A</v>
      </c>
      <c r="J459" s="587"/>
    </row>
    <row r="460" spans="1:10" ht="12.75">
      <c r="A460" s="584"/>
      <c r="B460" s="585"/>
      <c r="C460" s="585" t="s">
        <v>1281</v>
      </c>
      <c r="D460" s="585"/>
      <c r="E460" s="592">
        <f>'3. Sources Uses'!F142+0</f>
        <v>0</v>
      </c>
      <c r="F460" s="592" t="str">
        <f>IF('1. Description'!$I$72&gt;0,(E460/'1. Description'!$I$72),"          N/A")</f>
        <v xml:space="preserve">          N/A</v>
      </c>
      <c r="G460" s="615" t="str">
        <f>IF('1. Description'!$E$140&gt;0,(E460/'1. Description'!$E$140),"          N/A")</f>
        <v xml:space="preserve">          N/A</v>
      </c>
      <c r="H460" s="636">
        <f>'3. Sources Uses'!G142+0</f>
        <v>0</v>
      </c>
      <c r="I460" s="615" t="str">
        <f>IF('1. Description'!$E$141&gt;0,(H460/'1. Description'!$E$141),"          N/A")</f>
        <v xml:space="preserve">          N/A</v>
      </c>
      <c r="J460" s="587"/>
    </row>
    <row r="461" spans="1:10" ht="12.75">
      <c r="A461" s="584"/>
      <c r="B461" s="585"/>
      <c r="C461" s="585" t="s">
        <v>1282</v>
      </c>
      <c r="D461" s="585"/>
      <c r="E461" s="592">
        <f>'3. Sources Uses'!F143+0</f>
        <v>0</v>
      </c>
      <c r="F461" s="592" t="str">
        <f>IF('1. Description'!$I$72&gt;0,(E461/'1. Description'!$I$72),"          N/A")</f>
        <v xml:space="preserve">          N/A</v>
      </c>
      <c r="G461" s="615" t="str">
        <f>IF('1. Description'!$E$140&gt;0,(E461/'1. Description'!$E$140),"          N/A")</f>
        <v xml:space="preserve">          N/A</v>
      </c>
      <c r="H461" s="636">
        <f>'3. Sources Uses'!G143+0</f>
        <v>0</v>
      </c>
      <c r="I461" s="615" t="str">
        <f>IF('1. Description'!$E$141&gt;0,(H461/'1. Description'!$E$141),"          N/A")</f>
        <v xml:space="preserve">          N/A</v>
      </c>
      <c r="J461" s="587"/>
    </row>
    <row r="462" spans="1:10" ht="12.75">
      <c r="A462" s="584"/>
      <c r="B462" s="585"/>
      <c r="C462" s="585" t="s">
        <v>1285</v>
      </c>
      <c r="D462" s="585"/>
      <c r="E462" s="592">
        <f>'3. Sources Uses'!F144+0</f>
        <v>0</v>
      </c>
      <c r="F462" s="592" t="str">
        <f>IF('1. Description'!$I$72&gt;0,(E462/'1. Description'!$I$72),"          N/A")</f>
        <v xml:space="preserve">          N/A</v>
      </c>
      <c r="G462" s="615" t="str">
        <f>IF('1. Description'!$E$140&gt;0,(E462/'1. Description'!$E$140),"          N/A")</f>
        <v xml:space="preserve">          N/A</v>
      </c>
      <c r="H462" s="636">
        <f>'3. Sources Uses'!G144+0</f>
        <v>0</v>
      </c>
      <c r="I462" s="615" t="str">
        <f>IF('1. Description'!$E$141&gt;0,(H462/'1. Description'!$E$141),"          N/A")</f>
        <v xml:space="preserve">          N/A</v>
      </c>
      <c r="J462" s="587"/>
    </row>
    <row r="463" spans="1:10" ht="12.75">
      <c r="A463" s="584"/>
      <c r="B463" s="585"/>
      <c r="C463" s="585" t="s">
        <v>1290</v>
      </c>
      <c r="D463" s="585"/>
      <c r="E463" s="592">
        <f>'3. Sources Uses'!F145+0</f>
        <v>0</v>
      </c>
      <c r="F463" s="592" t="str">
        <f>IF('1. Description'!$I$72&gt;0,(E463/'1. Description'!$I$72),"          N/A")</f>
        <v xml:space="preserve">          N/A</v>
      </c>
      <c r="G463" s="615" t="str">
        <f>IF('1. Description'!$E$140&gt;0,(E463/'1. Description'!$E$140),"          N/A")</f>
        <v xml:space="preserve">          N/A</v>
      </c>
      <c r="H463" s="636">
        <f>'3. Sources Uses'!G145+0</f>
        <v>0</v>
      </c>
      <c r="I463" s="615" t="str">
        <f>IF('1. Description'!$E$141&gt;0,(H463/'1. Description'!$E$141),"          N/A")</f>
        <v xml:space="preserve">          N/A</v>
      </c>
      <c r="J463" s="587"/>
    </row>
    <row r="464" spans="1:10" ht="12.75">
      <c r="A464" s="584"/>
      <c r="B464" s="585"/>
      <c r="C464" s="585" t="s">
        <v>1291</v>
      </c>
      <c r="D464" s="585"/>
      <c r="E464" s="592">
        <f>'3. Sources Uses'!F146+0</f>
        <v>0</v>
      </c>
      <c r="F464" s="592" t="str">
        <f>IF('1. Description'!$I$72&gt;0,(E464/'1. Description'!$I$72),"          N/A")</f>
        <v xml:space="preserve">          N/A</v>
      </c>
      <c r="G464" s="615" t="str">
        <f>IF('1. Description'!$E$140&gt;0,(E464/'1. Description'!$E$140),"          N/A")</f>
        <v xml:space="preserve">          N/A</v>
      </c>
      <c r="H464" s="636">
        <f>'3. Sources Uses'!G146+0</f>
        <v>0</v>
      </c>
      <c r="I464" s="615" t="str">
        <f>IF('1. Description'!$E$141&gt;0,(H464/'1. Description'!$E$141),"          N/A")</f>
        <v xml:space="preserve">          N/A</v>
      </c>
      <c r="J464" s="587"/>
    </row>
    <row r="465" spans="1:10" ht="12.75">
      <c r="A465" s="584"/>
      <c r="B465" s="585"/>
      <c r="C465" s="585" t="s">
        <v>1292</v>
      </c>
      <c r="D465" s="585"/>
      <c r="E465" s="592">
        <f>'3. Sources Uses'!F147+0</f>
        <v>0</v>
      </c>
      <c r="F465" s="592" t="str">
        <f>IF('1. Description'!$I$72&gt;0,(E465/'1. Description'!$I$72),"          N/A")</f>
        <v xml:space="preserve">          N/A</v>
      </c>
      <c r="G465" s="615" t="str">
        <f>IF('1. Description'!$E$140&gt;0,(E465/'1. Description'!$E$140),"          N/A")</f>
        <v xml:space="preserve">          N/A</v>
      </c>
      <c r="H465" s="636">
        <f>'3. Sources Uses'!G147+0</f>
        <v>0</v>
      </c>
      <c r="I465" s="615" t="str">
        <f>IF('1. Description'!$E$141&gt;0,(H465/'1. Description'!$E$141),"          N/A")</f>
        <v xml:space="preserve">          N/A</v>
      </c>
      <c r="J465" s="587"/>
    </row>
    <row r="466" spans="1:10" ht="12.75">
      <c r="A466" s="584"/>
      <c r="B466" s="585"/>
      <c r="C466" s="585" t="s">
        <v>1293</v>
      </c>
      <c r="D466" s="585"/>
      <c r="E466" s="592">
        <f>'3. Sources Uses'!F148+0</f>
        <v>0</v>
      </c>
      <c r="F466" s="592" t="str">
        <f>IF('1. Description'!$I$72&gt;0,(E466/'1. Description'!$I$72),"          N/A")</f>
        <v xml:space="preserve">          N/A</v>
      </c>
      <c r="G466" s="615" t="str">
        <f>IF('1. Description'!$E$140&gt;0,(E466/'1. Description'!$E$140),"          N/A")</f>
        <v xml:space="preserve">          N/A</v>
      </c>
      <c r="H466" s="636">
        <f>'3. Sources Uses'!G148+0</f>
        <v>0</v>
      </c>
      <c r="I466" s="615" t="str">
        <f>IF('1. Description'!$E$141&gt;0,(H466/'1. Description'!$E$141),"          N/A")</f>
        <v xml:space="preserve">          N/A</v>
      </c>
      <c r="J466" s="587"/>
    </row>
    <row r="467" spans="1:10" ht="12.75">
      <c r="A467" s="584"/>
      <c r="B467" s="585"/>
      <c r="C467" s="585" t="s">
        <v>1294</v>
      </c>
      <c r="D467" s="585"/>
      <c r="E467" s="592">
        <f>'3. Sources Uses'!F149+0</f>
        <v>0</v>
      </c>
      <c r="F467" s="592" t="str">
        <f>IF('1. Description'!$I$72&gt;0,(E467/'1. Description'!$I$72),"          N/A")</f>
        <v xml:space="preserve">          N/A</v>
      </c>
      <c r="G467" s="615" t="str">
        <f>IF('1. Description'!$E$140&gt;0,(E467/'1. Description'!$E$140),"          N/A")</f>
        <v xml:space="preserve">          N/A</v>
      </c>
      <c r="H467" s="636">
        <f>'3. Sources Uses'!G149+0</f>
        <v>0</v>
      </c>
      <c r="I467" s="615" t="str">
        <f>IF('1. Description'!$E$141&gt;0,(H467/'1. Description'!$E$141),"          N/A")</f>
        <v xml:space="preserve">          N/A</v>
      </c>
      <c r="J467" s="587"/>
    </row>
    <row r="468" spans="1:10" ht="12.75">
      <c r="A468" s="584"/>
      <c r="B468" s="585"/>
      <c r="C468" s="585" t="s">
        <v>1302</v>
      </c>
      <c r="D468" s="585"/>
      <c r="E468" s="592">
        <f>'3. Sources Uses'!F150+0</f>
        <v>0</v>
      </c>
      <c r="F468" s="592" t="str">
        <f>IF('1. Description'!$I$72&gt;0,(E468/'1. Description'!$I$72),"          N/A")</f>
        <v xml:space="preserve">          N/A</v>
      </c>
      <c r="G468" s="615" t="str">
        <f>IF('1. Description'!$E$140&gt;0,(E468/'1. Description'!$E$140),"          N/A")</f>
        <v xml:space="preserve">          N/A</v>
      </c>
      <c r="H468" s="636">
        <f>'3. Sources Uses'!G150+0</f>
        <v>0</v>
      </c>
      <c r="I468" s="615" t="str">
        <f>IF('1. Description'!$E$141&gt;0,(H468/'1. Description'!$E$141),"          N/A")</f>
        <v xml:space="preserve">          N/A</v>
      </c>
      <c r="J468" s="587"/>
    </row>
    <row r="469" spans="1:10" ht="12.75">
      <c r="A469" s="584"/>
      <c r="B469" s="585"/>
      <c r="C469" s="585" t="s">
        <v>1303</v>
      </c>
      <c r="D469" s="585"/>
      <c r="E469" s="592">
        <f>'3. Sources Uses'!F151+0</f>
        <v>0</v>
      </c>
      <c r="F469" s="592" t="str">
        <f>IF('1. Description'!$I$72&gt;0,(E469/'1. Description'!$I$72),"          N/A")</f>
        <v xml:space="preserve">          N/A</v>
      </c>
      <c r="G469" s="615" t="str">
        <f>IF('1. Description'!$E$140&gt;0,(E469/'1. Description'!$E$140),"          N/A")</f>
        <v xml:space="preserve">          N/A</v>
      </c>
      <c r="H469" s="636">
        <f>'3. Sources Uses'!G151+0</f>
        <v>0</v>
      </c>
      <c r="I469" s="615" t="str">
        <f>IF('1. Description'!$E$141&gt;0,(H469/'1. Description'!$E$141),"          N/A")</f>
        <v xml:space="preserve">          N/A</v>
      </c>
      <c r="J469" s="587"/>
    </row>
    <row r="470" spans="1:10" ht="12.75">
      <c r="A470" s="584"/>
      <c r="B470" s="585"/>
      <c r="C470" s="585" t="s">
        <v>1304</v>
      </c>
      <c r="D470" s="586" t="str">
        <f>'3. Sources Uses'!D152</f>
        <v xml:space="preserve">   </v>
      </c>
      <c r="E470" s="592">
        <f>'3. Sources Uses'!F152+0</f>
        <v>0</v>
      </c>
      <c r="F470" s="592" t="str">
        <f>IF('1. Description'!$I$72&gt;0,(E470/'1. Description'!$I$72),"          N/A")</f>
        <v xml:space="preserve">          N/A</v>
      </c>
      <c r="G470" s="615" t="str">
        <f>IF('1. Description'!$E$140&gt;0,(E470/'1. Description'!$E$140),"          N/A")</f>
        <v xml:space="preserve">          N/A</v>
      </c>
      <c r="H470" s="636">
        <f>'3. Sources Uses'!G152+0</f>
        <v>0</v>
      </c>
      <c r="I470" s="615" t="str">
        <f>IF('1. Description'!$E$141&gt;0,(H470/'1. Description'!$E$141),"          N/A")</f>
        <v xml:space="preserve">          N/A</v>
      </c>
      <c r="J470" s="587"/>
    </row>
    <row r="471" spans="1:10" ht="12.75">
      <c r="A471" s="584"/>
      <c r="B471" s="585"/>
      <c r="C471" s="585" t="s">
        <v>1304</v>
      </c>
      <c r="D471" s="586" t="str">
        <f>'3. Sources Uses'!D153</f>
        <v xml:space="preserve">   </v>
      </c>
      <c r="E471" s="592">
        <f>'3. Sources Uses'!F153+0</f>
        <v>0</v>
      </c>
      <c r="F471" s="592" t="str">
        <f>IF('1. Description'!$I$72&gt;0,(E471/'1. Description'!$I$72),"          N/A")</f>
        <v xml:space="preserve">          N/A</v>
      </c>
      <c r="G471" s="615" t="str">
        <f>IF('1. Description'!$E$140&gt;0,(E471/'1. Description'!$E$140),"          N/A")</f>
        <v xml:space="preserve">          N/A</v>
      </c>
      <c r="H471" s="636">
        <f>'3. Sources Uses'!G153+0</f>
        <v>0</v>
      </c>
      <c r="I471" s="615" t="str">
        <f>IF('1. Description'!$E$141&gt;0,(H471/'1. Description'!$E$141),"          N/A")</f>
        <v xml:space="preserve">          N/A</v>
      </c>
      <c r="J471" s="587"/>
    </row>
    <row r="472" spans="1:10" ht="12.75">
      <c r="A472" s="584"/>
      <c r="B472" s="585"/>
      <c r="C472" s="585" t="str">
        <f>'3. Sources Uses'!C154</f>
        <v>MIP</v>
      </c>
      <c r="D472" s="585"/>
      <c r="E472" s="592">
        <f>'3. Sources Uses'!F154+0</f>
        <v>0</v>
      </c>
      <c r="F472" s="592" t="str">
        <f>IF('1. Description'!$I$72&gt;0,(E472/'1. Description'!$I$72),"          N/A")</f>
        <v xml:space="preserve">          N/A</v>
      </c>
      <c r="G472" s="615" t="str">
        <f>IF('1. Description'!$E$140&gt;0,(E472/'1. Description'!$E$140),"          N/A")</f>
        <v xml:space="preserve">          N/A</v>
      </c>
      <c r="H472" s="636">
        <f>'3. Sources Uses'!G154+0</f>
        <v>0</v>
      </c>
      <c r="I472" s="615" t="str">
        <f>IF('1. Description'!$E$141&gt;0,(H472/'1. Description'!$E$141),"          N/A")</f>
        <v xml:space="preserve">          N/A</v>
      </c>
      <c r="J472" s="587"/>
    </row>
    <row r="473" spans="1:10" ht="12.75">
      <c r="A473" s="584"/>
      <c r="B473" s="585"/>
      <c r="C473" s="585" t="s">
        <v>1306</v>
      </c>
      <c r="D473" s="585"/>
      <c r="E473" s="592">
        <f>'3. Sources Uses'!F155+0</f>
        <v>0</v>
      </c>
      <c r="F473" s="592" t="str">
        <f>IF('1. Description'!$I$72&gt;0,(E473/'1. Description'!$I$72),"          N/A")</f>
        <v xml:space="preserve">          N/A</v>
      </c>
      <c r="G473" s="615" t="str">
        <f>IF('1. Description'!$E$140&gt;0,(E473/'1. Description'!$E$140),"          N/A")</f>
        <v xml:space="preserve">          N/A</v>
      </c>
      <c r="H473" s="636">
        <f>'3. Sources Uses'!G155+0</f>
        <v>0</v>
      </c>
      <c r="I473" s="615" t="str">
        <f>IF('1. Description'!$E$141&gt;0,(H473/'1. Description'!$E$141),"          N/A")</f>
        <v xml:space="preserve">          N/A</v>
      </c>
      <c r="J473" s="587"/>
    </row>
    <row r="474" spans="1:10" ht="12.75">
      <c r="A474" s="584"/>
      <c r="B474" s="585"/>
      <c r="C474" s="585" t="s">
        <v>1307</v>
      </c>
      <c r="D474" s="585"/>
      <c r="E474" s="592">
        <f>'3. Sources Uses'!F156+0</f>
        <v>0</v>
      </c>
      <c r="F474" s="592" t="str">
        <f>IF('1. Description'!$I$72&gt;0,(E474/'1. Description'!$I$72),"          N/A")</f>
        <v xml:space="preserve">          N/A</v>
      </c>
      <c r="G474" s="615" t="str">
        <f>IF('1. Description'!$E$140&gt;0,(E474/'1. Description'!$E$140),"          N/A")</f>
        <v xml:space="preserve">          N/A</v>
      </c>
      <c r="H474" s="636">
        <f>'3. Sources Uses'!G156+0</f>
        <v>0</v>
      </c>
      <c r="I474" s="615" t="str">
        <f>IF('1. Description'!$E$141&gt;0,(H474/'1. Description'!$E$141),"          N/A")</f>
        <v xml:space="preserve">          N/A</v>
      </c>
      <c r="J474" s="587"/>
    </row>
    <row r="475" spans="1:10" ht="12.75">
      <c r="A475" s="584"/>
      <c r="B475" s="585"/>
      <c r="C475" s="585" t="s">
        <v>1308</v>
      </c>
      <c r="D475" s="585"/>
      <c r="E475" s="592">
        <f>'3. Sources Uses'!F157+0</f>
        <v>0</v>
      </c>
      <c r="F475" s="592" t="str">
        <f>IF('1. Description'!$I$72&gt;0,(E475/'1. Description'!$I$72),"          N/A")</f>
        <v xml:space="preserve">          N/A</v>
      </c>
      <c r="G475" s="615" t="str">
        <f>IF('1. Description'!$E$140&gt;0,(E475/'1. Description'!$E$140),"          N/A")</f>
        <v xml:space="preserve">          N/A</v>
      </c>
      <c r="H475" s="636">
        <f>'3. Sources Uses'!G157+0</f>
        <v>0</v>
      </c>
      <c r="I475" s="615" t="str">
        <f>IF('1. Description'!$E$141&gt;0,(H475/'1. Description'!$E$141),"          N/A")</f>
        <v xml:space="preserve">          N/A</v>
      </c>
      <c r="J475" s="587"/>
    </row>
    <row r="476" spans="1:10" ht="12.75">
      <c r="A476" s="584"/>
      <c r="B476" s="585"/>
      <c r="C476" s="585" t="s">
        <v>1309</v>
      </c>
      <c r="D476" s="585"/>
      <c r="E476" s="592">
        <f>'3. Sources Uses'!F158+0</f>
        <v>0</v>
      </c>
      <c r="F476" s="592" t="str">
        <f>IF('1. Description'!$I$72&gt;0,(E476/'1. Description'!$I$72),"          N/A")</f>
        <v xml:space="preserve">          N/A</v>
      </c>
      <c r="G476" s="615" t="str">
        <f>IF('1. Description'!$E$140&gt;0,(E476/'1. Description'!$E$140),"          N/A")</f>
        <v xml:space="preserve">          N/A</v>
      </c>
      <c r="H476" s="636">
        <f>'3. Sources Uses'!G158+0</f>
        <v>0</v>
      </c>
      <c r="I476" s="615" t="str">
        <f>IF('1. Description'!$E$141&gt;0,(H476/'1. Description'!$E$141),"          N/A")</f>
        <v xml:space="preserve">          N/A</v>
      </c>
      <c r="J476" s="587"/>
    </row>
    <row r="477" spans="1:10" ht="12.75">
      <c r="A477" s="584"/>
      <c r="B477" s="585"/>
      <c r="C477" s="585" t="s">
        <v>790</v>
      </c>
      <c r="D477" s="586" t="str">
        <f>IF('3. Sources Uses'!D159&gt;0,'3. Sources Uses'!D159," ")</f>
        <v xml:space="preserve"> </v>
      </c>
      <c r="E477" s="592">
        <f>'3. Sources Uses'!F159+0</f>
        <v>0</v>
      </c>
      <c r="F477" s="592" t="str">
        <f>IF('1. Description'!$I$72&gt;0,(E477/'1. Description'!$I$72),"          N/A")</f>
        <v xml:space="preserve">          N/A</v>
      </c>
      <c r="G477" s="615" t="str">
        <f>IF('1. Description'!$E$140&gt;0,(E477/'1. Description'!$E$140),"          N/A")</f>
        <v xml:space="preserve">          N/A</v>
      </c>
      <c r="H477" s="636">
        <f>'3. Sources Uses'!G159+0</f>
        <v>0</v>
      </c>
      <c r="I477" s="615" t="str">
        <f>IF('1. Description'!$E$141&gt;0,(H477/'1. Description'!$E$141),"          N/A")</f>
        <v xml:space="preserve">          N/A</v>
      </c>
      <c r="J477" s="587"/>
    </row>
    <row r="478" spans="1:10" ht="12.75">
      <c r="A478" s="584"/>
      <c r="B478" s="585"/>
      <c r="C478" s="585" t="s">
        <v>790</v>
      </c>
      <c r="D478" s="586" t="str">
        <f>IF('3. Sources Uses'!D160&gt;0,'3. Sources Uses'!D160," ")</f>
        <v xml:space="preserve"> </v>
      </c>
      <c r="E478" s="592">
        <f>'3. Sources Uses'!F160+0</f>
        <v>0</v>
      </c>
      <c r="F478" s="592" t="str">
        <f>IF('1. Description'!$I$72&gt;0,(E478/'1. Description'!$I$72),"          N/A")</f>
        <v xml:space="preserve">          N/A</v>
      </c>
      <c r="G478" s="615" t="str">
        <f>IF('1. Description'!$E$140&gt;0,(E478/'1. Description'!$E$140),"          N/A")</f>
        <v xml:space="preserve">          N/A</v>
      </c>
      <c r="H478" s="636">
        <f>'3. Sources Uses'!G160+0</f>
        <v>0</v>
      </c>
      <c r="I478" s="615" t="str">
        <f>IF('1. Description'!$E$141&gt;0,(H478/'1. Description'!$E$141),"          N/A")</f>
        <v xml:space="preserve">          N/A</v>
      </c>
      <c r="J478" s="587"/>
    </row>
    <row r="479" spans="1:10" ht="13.5" thickBot="1">
      <c r="A479" s="584"/>
      <c r="B479" s="585"/>
      <c r="C479" s="585" t="s">
        <v>1310</v>
      </c>
      <c r="D479" s="585"/>
      <c r="E479" s="642">
        <f>'3. Sources Uses'!F161+0</f>
        <v>0</v>
      </c>
      <c r="F479" s="642" t="str">
        <f>IF('1. Description'!$I$72&gt;0,(E479/'1. Description'!$I$72),"          N/A")</f>
        <v xml:space="preserve">          N/A</v>
      </c>
      <c r="G479" s="643" t="str">
        <f>IF('1. Description'!$E$140&gt;0,(E479/'1. Description'!$E$140),"          N/A")</f>
        <v xml:space="preserve">          N/A</v>
      </c>
      <c r="H479" s="644">
        <f>'3. Sources Uses'!G161+0</f>
        <v>0</v>
      </c>
      <c r="I479" s="643" t="str">
        <f>IF('1. Description'!$E$141&gt;0,(H479/'1. Description'!$E$141),"          N/A")</f>
        <v xml:space="preserve">          N/A</v>
      </c>
      <c r="J479" s="587"/>
    </row>
    <row r="480" spans="1:10" ht="13.5" thickTop="1">
      <c r="A480" s="584"/>
      <c r="B480" s="585"/>
      <c r="C480" s="593" t="s">
        <v>1312</v>
      </c>
      <c r="D480" s="585"/>
      <c r="E480" s="592">
        <f>'3. Sources Uses'!F162+0</f>
        <v>0</v>
      </c>
      <c r="F480" s="592" t="str">
        <f>IF('1. Description'!$I$72&gt;0,(E480/'1. Description'!$I$72),"          N/A")</f>
        <v xml:space="preserve">          N/A</v>
      </c>
      <c r="G480" s="615" t="str">
        <f>IF('1. Description'!$E$140&gt;0,(E480/'1. Description'!$E$140),"          N/A")</f>
        <v xml:space="preserve">          N/A</v>
      </c>
      <c r="H480" s="636">
        <f>'3. Sources Uses'!G162+0</f>
        <v>0</v>
      </c>
      <c r="I480" s="615" t="str">
        <f>IF('1. Description'!$E$141&gt;0,(H480/'1. Description'!$E$141),"          N/A")</f>
        <v xml:space="preserve">          N/A</v>
      </c>
      <c r="J480" s="587"/>
    </row>
    <row r="481" spans="1:10">
      <c r="A481" s="576"/>
      <c r="B481" s="577"/>
      <c r="C481" s="577"/>
      <c r="D481" s="577"/>
      <c r="E481" s="616"/>
      <c r="F481" s="616"/>
      <c r="G481" s="617"/>
      <c r="H481" s="616"/>
      <c r="I481" s="617"/>
      <c r="J481" s="579"/>
    </row>
    <row r="482" spans="1:10" ht="12.75">
      <c r="A482" s="584"/>
      <c r="B482" s="585"/>
      <c r="C482" s="593" t="s">
        <v>1313</v>
      </c>
      <c r="D482" s="585"/>
      <c r="E482" s="592">
        <f>'3. Sources Uses'!F164+0</f>
        <v>0</v>
      </c>
      <c r="F482" s="592" t="str">
        <f>IF('1. Description'!$I$72&gt;0,(E482/'1. Description'!$I$72),"          N/A")</f>
        <v xml:space="preserve">          N/A</v>
      </c>
      <c r="G482" s="615" t="str">
        <f>IF('1. Description'!$E$140&gt;0,(E482/'1. Description'!$E$140),"          N/A")</f>
        <v xml:space="preserve">          N/A</v>
      </c>
      <c r="H482" s="636">
        <f>'3. Sources Uses'!G164+0</f>
        <v>0</v>
      </c>
      <c r="I482" s="615" t="str">
        <f>IF('1. Description'!$E$141&gt;0,(H482/'1. Description'!$E$141),"          N/A")</f>
        <v xml:space="preserve">          N/A</v>
      </c>
      <c r="J482" s="587"/>
    </row>
    <row r="483" spans="1:10" ht="12.75">
      <c r="A483" s="584"/>
      <c r="B483" s="585"/>
      <c r="C483" s="593" t="s">
        <v>1314</v>
      </c>
      <c r="D483" s="585"/>
      <c r="E483" s="597"/>
      <c r="F483" s="597"/>
      <c r="G483" s="618"/>
      <c r="H483" s="597"/>
      <c r="I483" s="618"/>
      <c r="J483" s="587"/>
    </row>
    <row r="484" spans="1:10">
      <c r="A484" s="576"/>
      <c r="B484" s="577"/>
      <c r="C484" s="577"/>
      <c r="D484" s="577"/>
      <c r="E484" s="616"/>
      <c r="F484" s="616"/>
      <c r="G484" s="617"/>
      <c r="H484" s="616"/>
      <c r="I484" s="617"/>
      <c r="J484" s="579"/>
    </row>
    <row r="485" spans="1:10" ht="12.75">
      <c r="A485" s="576"/>
      <c r="B485" s="577"/>
      <c r="C485" s="585" t="s">
        <v>1315</v>
      </c>
      <c r="D485" s="585"/>
      <c r="E485" s="592">
        <f>'3. Sources Uses'!F167+0</f>
        <v>0</v>
      </c>
      <c r="F485" s="592" t="str">
        <f>IF('1. Description'!$I$72&gt;0,(E485/'1. Description'!$I$72),"          N/A")</f>
        <v xml:space="preserve">          N/A</v>
      </c>
      <c r="G485" s="615" t="str">
        <f>IF('1. Description'!$E$140&gt;0,(E485/'1. Description'!$E$140),"          N/A")</f>
        <v xml:space="preserve">          N/A</v>
      </c>
      <c r="H485" s="636">
        <f>'3. Sources Uses'!G167+0</f>
        <v>0</v>
      </c>
      <c r="I485" s="615" t="str">
        <f>IF('1. Description'!$E$141&gt;0,(H485/'1. Description'!$E$141),"          N/A")</f>
        <v xml:space="preserve">          N/A</v>
      </c>
      <c r="J485" s="579"/>
    </row>
    <row r="486" spans="1:10" ht="12.75">
      <c r="A486" s="584"/>
      <c r="B486" s="585"/>
      <c r="C486" s="585" t="s">
        <v>1316</v>
      </c>
      <c r="D486" s="585"/>
      <c r="E486" s="592">
        <f>'3. Sources Uses'!F168+0</f>
        <v>0</v>
      </c>
      <c r="F486" s="592" t="str">
        <f>IF('1. Description'!$I$72&gt;0,(E486/'1. Description'!$I$72),"          N/A")</f>
        <v xml:space="preserve">          N/A</v>
      </c>
      <c r="G486" s="615" t="str">
        <f>IF('1. Description'!$E$140&gt;0,(E486/'1. Description'!$E$140),"          N/A")</f>
        <v xml:space="preserve">          N/A</v>
      </c>
      <c r="H486" s="636">
        <f>'3. Sources Uses'!G168+0</f>
        <v>0</v>
      </c>
      <c r="I486" s="615" t="str">
        <f>IF('1. Description'!$E$141&gt;0,(H486/'1. Description'!$E$141),"          N/A")</f>
        <v xml:space="preserve">          N/A</v>
      </c>
      <c r="J486" s="587"/>
    </row>
    <row r="487" spans="1:10" ht="12.75">
      <c r="A487" s="584"/>
      <c r="B487" s="585"/>
      <c r="C487" s="585" t="s">
        <v>1317</v>
      </c>
      <c r="D487" s="585"/>
      <c r="E487" s="592">
        <f>'3. Sources Uses'!F169+0</f>
        <v>0</v>
      </c>
      <c r="F487" s="592" t="str">
        <f>IF('1. Description'!$I$72&gt;0,(E487/'1. Description'!$I$72),"          N/A")</f>
        <v xml:space="preserve">          N/A</v>
      </c>
      <c r="G487" s="615" t="str">
        <f>IF('1. Description'!$E$140&gt;0,(E487/'1. Description'!$E$140),"          N/A")</f>
        <v xml:space="preserve">          N/A</v>
      </c>
      <c r="H487" s="636">
        <f>'3. Sources Uses'!G169+0</f>
        <v>0</v>
      </c>
      <c r="I487" s="615" t="str">
        <f>IF('1. Description'!$E$141&gt;0,(H487/'1. Description'!$E$141),"          N/A")</f>
        <v xml:space="preserve">          N/A</v>
      </c>
      <c r="J487" s="587"/>
    </row>
    <row r="488" spans="1:10">
      <c r="A488" s="576"/>
      <c r="B488" s="577"/>
      <c r="C488" s="577"/>
      <c r="D488" s="577"/>
      <c r="E488" s="616"/>
      <c r="F488" s="616"/>
      <c r="G488" s="617"/>
      <c r="H488" s="616"/>
      <c r="I488" s="617"/>
      <c r="J488" s="579"/>
    </row>
    <row r="489" spans="1:10" ht="12.75">
      <c r="A489" s="584"/>
      <c r="B489" s="585"/>
      <c r="C489" s="593" t="s">
        <v>1318</v>
      </c>
      <c r="D489" s="593"/>
      <c r="E489" s="592">
        <f>'3. Sources Uses'!F171+0</f>
        <v>0</v>
      </c>
      <c r="F489" s="592" t="str">
        <f>IF('1. Description'!$I$72&gt;0,(E489/'1. Description'!$I$72),"          N/A")</f>
        <v xml:space="preserve">          N/A</v>
      </c>
      <c r="G489" s="615" t="str">
        <f>IF('1. Description'!$E$140&gt;0,(E489/'1. Description'!$E$140),"          N/A")</f>
        <v xml:space="preserve">          N/A</v>
      </c>
      <c r="H489" s="636">
        <f>'3. Sources Uses'!G171+0</f>
        <v>0</v>
      </c>
      <c r="I489" s="615" t="str">
        <f>IF('1. Description'!$E$141&gt;0,(H489/'1. Description'!$E$141),"          N/A")</f>
        <v xml:space="preserve">          N/A</v>
      </c>
      <c r="J489" s="587"/>
    </row>
    <row r="490" spans="1:10">
      <c r="A490" s="576"/>
      <c r="B490" s="577"/>
      <c r="C490" s="635"/>
      <c r="D490" s="635"/>
      <c r="E490" s="616"/>
      <c r="F490" s="616"/>
      <c r="G490" s="617"/>
      <c r="H490" s="616"/>
      <c r="I490" s="617"/>
      <c r="J490" s="579"/>
    </row>
    <row r="491" spans="1:10" ht="12.75">
      <c r="A491" s="584"/>
      <c r="B491" s="585"/>
      <c r="C491" s="593" t="s">
        <v>1326</v>
      </c>
      <c r="D491" s="585"/>
      <c r="E491" s="592">
        <f>'3. Sources Uses'!F173+0</f>
        <v>0</v>
      </c>
      <c r="F491" s="592" t="str">
        <f>IF('1. Description'!$I$72&gt;0,(E491/'1. Description'!$I$72),"          N/A")</f>
        <v xml:space="preserve">          N/A</v>
      </c>
      <c r="G491" s="615" t="str">
        <f>IF('1. Description'!$E$140&gt;0,(E491/'1. Description'!$E$140),"          N/A")</f>
        <v xml:space="preserve">          N/A</v>
      </c>
      <c r="H491" s="636">
        <f>'3. Sources Uses'!G173+0</f>
        <v>0</v>
      </c>
      <c r="I491" s="615" t="str">
        <f>IF('1. Description'!$E$141&gt;0,(H491/'1. Description'!$E$141),"          N/A")</f>
        <v xml:space="preserve">          N/A</v>
      </c>
      <c r="J491" s="587"/>
    </row>
    <row r="492" spans="1:10">
      <c r="A492" s="576"/>
      <c r="B492" s="577"/>
      <c r="C492" s="577"/>
      <c r="D492" s="577"/>
      <c r="E492" s="577"/>
      <c r="F492" s="577"/>
      <c r="G492" s="577"/>
      <c r="H492" s="577"/>
      <c r="I492" s="577"/>
      <c r="J492" s="579"/>
    </row>
    <row r="493" spans="1:10" ht="12.75">
      <c r="A493" s="576"/>
      <c r="B493" s="577"/>
      <c r="C493" s="736" t="s">
        <v>513</v>
      </c>
      <c r="D493" s="577"/>
      <c r="E493" s="577"/>
      <c r="F493" s="577"/>
      <c r="G493" s="577"/>
      <c r="H493" s="577"/>
      <c r="I493" s="577"/>
      <c r="J493" s="579"/>
    </row>
    <row r="494" spans="1:10" ht="12.75">
      <c r="A494" s="576"/>
      <c r="B494" s="577"/>
      <c r="C494" s="736" t="s">
        <v>514</v>
      </c>
      <c r="D494" s="577"/>
      <c r="E494" s="577"/>
      <c r="F494" s="577"/>
      <c r="G494" s="577"/>
      <c r="H494" s="577"/>
      <c r="I494" s="577"/>
      <c r="J494" s="579"/>
    </row>
    <row r="495" spans="1:10">
      <c r="A495" s="576"/>
      <c r="B495" s="577"/>
      <c r="C495" s="577"/>
      <c r="D495" s="577"/>
      <c r="E495" s="577"/>
      <c r="F495" s="577"/>
      <c r="G495" s="577"/>
      <c r="H495" s="577"/>
      <c r="I495" s="577"/>
      <c r="J495" s="579"/>
    </row>
    <row r="496" spans="1:10">
      <c r="A496" s="576"/>
      <c r="B496" s="577"/>
      <c r="C496" s="577"/>
      <c r="D496" s="577"/>
      <c r="E496" s="577"/>
      <c r="F496" s="577"/>
      <c r="G496" s="577"/>
      <c r="H496" s="577"/>
      <c r="I496" s="577"/>
      <c r="J496" s="579"/>
    </row>
    <row r="497" spans="1:10" ht="12" thickBot="1">
      <c r="A497" s="598"/>
      <c r="B497" s="599"/>
      <c r="C497" s="599"/>
      <c r="D497" s="599"/>
      <c r="E497" s="599"/>
      <c r="F497" s="599"/>
      <c r="G497" s="599"/>
      <c r="H497" s="599"/>
      <c r="I497" s="599"/>
      <c r="J497" s="600"/>
    </row>
    <row r="498" spans="1:10">
      <c r="A498" s="568"/>
      <c r="B498" s="568">
        <f>PROJNAME</f>
        <v>0</v>
      </c>
      <c r="C498" s="568"/>
      <c r="D498" s="568"/>
      <c r="E498" s="568"/>
      <c r="F498" s="568"/>
      <c r="G498" s="827" t="e">
        <f>'1. Description'!$G$59</f>
        <v>#VALUE!</v>
      </c>
      <c r="H498" s="568"/>
      <c r="I498" s="828" t="e">
        <f>'1. Description'!$H$59</f>
        <v>#VALUE!</v>
      </c>
      <c r="J498" s="567"/>
    </row>
  </sheetData>
  <sheetProtection password="D405" sheet="1" objects="1" scenarios="1"/>
  <phoneticPr fontId="140" type="noConversion"/>
  <printOptions horizontalCentered="1" gridLinesSet="0"/>
  <pageMargins left="7.0000000000000007E-2" right="7.0000000000000007E-2" top="7.0000000000000007E-2" bottom="7.0000000000000007E-2" header="7.0000000000000007E-2" footer="7.0000000000000007E-2"/>
  <pageSetup scale="94" orientation="portrait" blackAndWhite="1" horizontalDpi="300" verticalDpi="300" r:id="rId1"/>
  <headerFooter alignWithMargins="0"/>
  <rowBreaks count="7" manualBreakCount="7">
    <brk id="63" max="9" man="1"/>
    <brk id="125" max="9" man="1"/>
    <brk id="186" max="9" man="1"/>
    <brk id="249" max="9" man="1"/>
    <brk id="312" max="9" man="1"/>
    <brk id="374" max="9" man="1"/>
    <brk id="43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10"/>
  <dimension ref="A1:J153"/>
  <sheetViews>
    <sheetView showGridLines="0" topLeftCell="A37" zoomScaleNormal="100" workbookViewId="0">
      <selection activeCell="I20" sqref="I20"/>
    </sheetView>
  </sheetViews>
  <sheetFormatPr defaultColWidth="9.6640625" defaultRowHeight="11.25"/>
  <cols>
    <col min="1" max="1" width="6.33203125" style="103" customWidth="1"/>
    <col min="2" max="2" width="2.1640625" style="103" customWidth="1"/>
    <col min="3" max="4" width="16.6640625" style="103" customWidth="1"/>
    <col min="5" max="8" width="12.83203125" style="103" customWidth="1"/>
    <col min="9" max="9" width="13.83203125" style="103" customWidth="1"/>
    <col min="10" max="10" width="9.33203125" style="103" customWidth="1"/>
    <col min="11" max="11" width="24.6640625" style="103" customWidth="1"/>
    <col min="12" max="16384" width="9.6640625" style="103"/>
  </cols>
  <sheetData>
    <row r="1" spans="1:10" ht="13.5" thickBot="1">
      <c r="A1" s="63" t="str">
        <f>'2. Dev. Team'!A1</f>
        <v>One Stop2000 Affordable Housing Finance Application [Version 1.21] ©</v>
      </c>
      <c r="B1" s="252"/>
      <c r="C1" s="252"/>
      <c r="D1" s="252"/>
      <c r="E1" s="252"/>
      <c r="F1" s="252"/>
      <c r="G1" s="252"/>
      <c r="H1" s="250"/>
      <c r="I1" s="1139"/>
      <c r="J1" s="1139" t="s">
        <v>515</v>
      </c>
    </row>
    <row r="2" spans="1:10" ht="26.25" thickBot="1">
      <c r="A2" s="1140" t="s">
        <v>516</v>
      </c>
      <c r="B2" s="1141"/>
      <c r="C2" s="1141"/>
      <c r="D2" s="1141"/>
      <c r="E2" s="1141"/>
      <c r="F2" s="1141"/>
      <c r="G2" s="1141"/>
      <c r="H2" s="1141"/>
      <c r="I2" s="1141"/>
      <c r="J2" s="1142"/>
    </row>
    <row r="3" spans="1:10" s="1146" customFormat="1" ht="18" thickTop="1" thickBot="1">
      <c r="A3" s="1143" t="s">
        <v>459</v>
      </c>
      <c r="B3" s="1144"/>
      <c r="C3" s="1144"/>
      <c r="D3" s="1144"/>
      <c r="E3" s="1144"/>
      <c r="F3" s="1144"/>
      <c r="G3" s="1144"/>
      <c r="H3" s="1144"/>
      <c r="I3" s="1144"/>
      <c r="J3" s="1145"/>
    </row>
    <row r="4" spans="1:10" ht="12" thickTop="1">
      <c r="A4" s="1147"/>
      <c r="B4" s="1148"/>
      <c r="C4" s="1148"/>
      <c r="D4" s="1148"/>
      <c r="E4" s="1148"/>
      <c r="F4" s="1148"/>
      <c r="G4" s="1148"/>
      <c r="H4" s="1148"/>
      <c r="I4" s="1148"/>
      <c r="J4" s="1149"/>
    </row>
    <row r="5" spans="1:10" ht="15.75">
      <c r="A5" s="1150" t="s">
        <v>517</v>
      </c>
      <c r="B5" s="252"/>
      <c r="C5" s="138"/>
      <c r="D5" s="138"/>
      <c r="E5" s="138"/>
      <c r="F5" s="138"/>
      <c r="G5" s="138"/>
      <c r="H5" s="138"/>
      <c r="I5" s="138"/>
      <c r="J5" s="253"/>
    </row>
    <row r="6" spans="1:10">
      <c r="A6" s="1151"/>
      <c r="B6" s="252"/>
      <c r="C6" s="252"/>
      <c r="D6" s="252"/>
      <c r="E6" s="252"/>
      <c r="F6" s="252"/>
      <c r="G6" s="252"/>
      <c r="H6" s="252"/>
      <c r="I6" s="252"/>
      <c r="J6" s="253"/>
    </row>
    <row r="7" spans="1:10" ht="15.75">
      <c r="A7" s="1151"/>
      <c r="B7" s="252"/>
      <c r="C7" s="144" t="s">
        <v>518</v>
      </c>
      <c r="D7" s="252"/>
      <c r="E7" s="252"/>
      <c r="F7" s="252"/>
      <c r="G7" s="252"/>
      <c r="H7" s="252"/>
      <c r="I7" s="252"/>
      <c r="J7" s="253"/>
    </row>
    <row r="8" spans="1:10">
      <c r="A8" s="1151"/>
      <c r="B8" s="252"/>
      <c r="C8" s="252"/>
      <c r="D8" s="252"/>
      <c r="E8" s="252"/>
      <c r="F8" s="252"/>
      <c r="G8" s="252"/>
      <c r="H8" s="252"/>
      <c r="I8" s="252"/>
      <c r="J8" s="253"/>
    </row>
    <row r="9" spans="1:10" ht="12.75">
      <c r="A9" s="161">
        <f>'1. Description'!A7</f>
        <v>1</v>
      </c>
      <c r="B9" s="52"/>
      <c r="C9" s="52" t="str">
        <f>IF(PROJNAME="","'Project Name' is not filled in.  PLEASE GIVE THE PROJECT A NAME."," ")</f>
        <v>'Project Name' is not filled in.  PLEASE GIVE THE PROJECT A NAME.</v>
      </c>
      <c r="D9" s="52"/>
      <c r="E9" s="52"/>
      <c r="F9" s="52"/>
      <c r="G9" s="52"/>
      <c r="H9" s="52"/>
      <c r="I9" s="52"/>
      <c r="J9" s="106"/>
    </row>
    <row r="10" spans="1:10" ht="12.75">
      <c r="A10" s="161">
        <f>'1. Description'!A25</f>
        <v>9</v>
      </c>
      <c r="B10" s="52"/>
      <c r="C10" s="52" t="str">
        <f>IF(SUM('1. Description'!B26:B30)&gt;0," ","Development Type is not filled in.   THIS QUESTION IS IMPORTANT.")</f>
        <v>Development Type is not filled in.   THIS QUESTION IS IMPORTANT.</v>
      </c>
      <c r="D10" s="52"/>
      <c r="E10" s="52"/>
      <c r="F10" s="52"/>
      <c r="G10" s="52"/>
      <c r="H10" s="52"/>
      <c r="I10" s="52"/>
      <c r="J10" s="106"/>
    </row>
    <row r="11" spans="1:10" ht="12.75">
      <c r="A11" s="161">
        <f>'1. Description'!A36</f>
        <v>11</v>
      </c>
      <c r="B11" s="52"/>
      <c r="C11" s="52" t="str">
        <f>IF('1. Description'!D39&lt;&gt;" "," ","Project Description is not filled in.   THIS QUESTION IS IMPORTANT.")</f>
        <v>Project Description is not filled in.   THIS QUESTION IS IMPORTANT.</v>
      </c>
      <c r="D11" s="52"/>
      <c r="E11" s="52"/>
      <c r="F11" s="52"/>
      <c r="G11" s="52"/>
      <c r="H11" s="52"/>
      <c r="I11" s="52"/>
      <c r="J11" s="106"/>
    </row>
    <row r="12" spans="1:10" ht="12.75">
      <c r="A12" s="161">
        <f>'1. Description'!A64</f>
        <v>13</v>
      </c>
      <c r="B12" s="52"/>
      <c r="C12" s="52" t="str">
        <f>IF('1. Description'!I72&gt;0," ","Unit Mix is not filled in.   THIS QUESTION IS IMPORTANT.")</f>
        <v>Unit Mix is not filled in.   THIS QUESTION IS IMPORTANT.</v>
      </c>
      <c r="D12" s="52"/>
      <c r="E12" s="52"/>
      <c r="F12" s="52"/>
      <c r="G12" s="52"/>
      <c r="H12" s="52"/>
      <c r="I12" s="52"/>
      <c r="J12" s="106"/>
    </row>
    <row r="13" spans="1:10" ht="12.75">
      <c r="A13" s="161">
        <f>'1. Description'!A64</f>
        <v>13</v>
      </c>
      <c r="B13" s="52"/>
      <c r="C13" s="52" t="str">
        <f>IF(AND('1. Description'!G72&gt;0,'1. Description'!G74=" "),"Moderate Income has not been defined.   PLEASE DEFINE."," ")</f>
        <v xml:space="preserve"> </v>
      </c>
      <c r="D13" s="52"/>
      <c r="E13" s="52"/>
      <c r="F13" s="52"/>
      <c r="G13" s="52"/>
      <c r="H13" s="52"/>
      <c r="I13" s="52"/>
      <c r="J13" s="106"/>
    </row>
    <row r="14" spans="1:10" ht="12.75">
      <c r="A14" s="161">
        <f>'1. Description'!A76</f>
        <v>14</v>
      </c>
      <c r="B14" s="52"/>
      <c r="C14" s="52" t="str">
        <f>IF(SUM('1. Description'!I79:I84)&gt;0," ","Unit Sizes are not filled in.")</f>
        <v>Unit Sizes are not filled in.</v>
      </c>
      <c r="D14" s="52"/>
      <c r="E14" s="52"/>
      <c r="F14" s="52"/>
      <c r="G14" s="52"/>
      <c r="H14" s="52"/>
      <c r="I14" s="52"/>
      <c r="J14" s="106"/>
    </row>
    <row r="15" spans="1:10" ht="12.75">
      <c r="A15" s="161">
        <f>'1. Description'!A86</f>
        <v>15</v>
      </c>
      <c r="B15" s="52"/>
      <c r="C15" s="52" t="str">
        <f>IF(SUM('1. Description'!I89:I94)&gt;0," ","Bathroom facilities are not filled in.")</f>
        <v>Bathroom facilities are not filled in.</v>
      </c>
      <c r="D15" s="52"/>
      <c r="E15" s="52"/>
      <c r="F15" s="52"/>
      <c r="G15" s="52"/>
      <c r="H15" s="52"/>
      <c r="I15" s="52"/>
      <c r="J15" s="106"/>
    </row>
    <row r="16" spans="1:10" ht="12.75">
      <c r="A16" s="161">
        <f>'1. Description'!A96</f>
        <v>16</v>
      </c>
      <c r="B16" s="52"/>
      <c r="C16" s="52" t="str">
        <f>IF(AND(DHCD="No",DHCDHome="No",official_action="No",construction_financing="No",permanent_financing="No",permanent_rental="No",Debt_financing="No",tax_credit="No",DND="No",Other_fund="No"),"Funding Applied For is not filled in.   THIS QUESTION IS IMPORTANT.","")</f>
        <v>Funding Applied For is not filled in.   THIS QUESTION IS IMPORTANT.</v>
      </c>
      <c r="D16" s="52"/>
      <c r="E16" s="52"/>
      <c r="F16" s="52"/>
      <c r="G16" s="52"/>
      <c r="H16" s="52"/>
      <c r="I16" s="52"/>
      <c r="J16" s="106"/>
    </row>
    <row r="17" spans="1:10" ht="12.75">
      <c r="A17" s="161">
        <f>'1. Description'!A128</f>
        <v>17</v>
      </c>
      <c r="B17" s="52"/>
      <c r="C17" s="52" t="str">
        <f>IF('1. Description'!E135&gt;0," ","Number of Buildings is not filled in.   THIS QUESTION IS IMPORTANT.")</f>
        <v>Number of Buildings is not filled in.   THIS QUESTION IS IMPORTANT.</v>
      </c>
      <c r="D17" s="52"/>
      <c r="E17" s="52"/>
      <c r="F17" s="52"/>
      <c r="G17" s="52"/>
      <c r="H17" s="52"/>
      <c r="I17" s="52"/>
      <c r="J17" s="106"/>
    </row>
    <row r="18" spans="1:10" ht="12.75">
      <c r="A18" s="161">
        <f>'1. Description'!A139</f>
        <v>19</v>
      </c>
      <c r="B18" s="52"/>
      <c r="C18" s="52" t="str">
        <f>IF('1. Description'!E140&gt;0," ","Square Footage is not filled in.")</f>
        <v>Square Footage is not filled in.</v>
      </c>
      <c r="D18" s="52"/>
      <c r="E18" s="52"/>
      <c r="F18" s="52"/>
      <c r="G18" s="52"/>
      <c r="H18" s="52"/>
      <c r="I18" s="52"/>
      <c r="J18" s="106"/>
    </row>
    <row r="19" spans="1:10" ht="12.75">
      <c r="A19" s="161">
        <f>'1. Description'!A147</f>
        <v>21</v>
      </c>
      <c r="B19" s="52"/>
      <c r="C19" s="52" t="str">
        <f>IF('1. Description'!F147&gt;0,IF('1. Description'!H147&lt;5%,"The number of handicapped accessible units appears to be low. The state minimum is 5%. IS THIS CORRECT?",""),"Number of handicapped accessible units is not filled in.")</f>
        <v>Number of handicapped accessible units is not filled in.</v>
      </c>
      <c r="D19" s="52"/>
      <c r="E19" s="52"/>
      <c r="F19" s="52"/>
      <c r="G19" s="52"/>
      <c r="H19" s="52"/>
      <c r="I19" s="52"/>
      <c r="J19" s="106"/>
    </row>
    <row r="20" spans="1:10" ht="12.75">
      <c r="A20" s="161">
        <f>'1. Description'!A180</f>
        <v>27</v>
      </c>
      <c r="B20" s="52"/>
      <c r="C20" s="52" t="str">
        <f>IF('1. Description'!E180=0,"Number of parking spaces is not filled in, or is zero.  Is this correct? "," ")</f>
        <v xml:space="preserve">Number of parking spaces is not filled in, or is zero.  Is this correct? </v>
      </c>
      <c r="D20" s="52"/>
      <c r="E20" s="52"/>
      <c r="F20" s="52"/>
      <c r="G20" s="52"/>
      <c r="H20" s="52"/>
      <c r="I20" s="52"/>
      <c r="J20" s="106"/>
    </row>
    <row r="21" spans="1:10" ht="12.75">
      <c r="A21" s="161">
        <f>'1. Description'!A215</f>
        <v>32</v>
      </c>
      <c r="B21" s="52"/>
      <c r="C21" s="52" t="str">
        <f>IF('1. Description'!E215+'1. Description'!G215&gt;0," ","Size of site is not filled in.   THIS QUESTION IS IMPORTANT.")</f>
        <v>Size of site is not filled in.   THIS QUESTION IS IMPORTANT.</v>
      </c>
      <c r="D21" s="52"/>
      <c r="E21" s="52"/>
      <c r="F21" s="52"/>
      <c r="G21" s="52"/>
      <c r="H21" s="52"/>
      <c r="I21" s="52"/>
      <c r="J21" s="106"/>
    </row>
    <row r="22" spans="1:10" ht="12.75">
      <c r="A22" s="161">
        <f>'1. Description'!A233</f>
        <v>41</v>
      </c>
      <c r="B22" s="52"/>
      <c r="C22" s="52" t="str">
        <f>IF(SUM('1. Description'!I234:I238)&gt;0," ","Utilities are not filled in.")</f>
        <v>Utilities are not filled in.</v>
      </c>
      <c r="D22" s="52"/>
      <c r="E22" s="52"/>
      <c r="F22" s="52"/>
      <c r="G22" s="52"/>
      <c r="H22" s="52"/>
      <c r="I22" s="52"/>
      <c r="J22" s="106"/>
    </row>
    <row r="23" spans="1:10" ht="12.75">
      <c r="A23" s="161">
        <f>'2. Dev. Team'!A14</f>
        <v>63</v>
      </c>
      <c r="B23" s="52"/>
      <c r="C23" s="52" t="str">
        <f>IF('2. Dev. Team'!F16&lt;&gt;" "," ","Developer Name is not filled in.")</f>
        <v>Developer Name is not filled in.</v>
      </c>
      <c r="D23" s="52"/>
      <c r="E23" s="52"/>
      <c r="F23" s="52"/>
      <c r="G23" s="52"/>
      <c r="H23" s="52"/>
      <c r="I23" s="52"/>
      <c r="J23" s="106"/>
    </row>
    <row r="24" spans="1:10" ht="12.75">
      <c r="A24" s="161">
        <f>'2. Dev. Team'!A14</f>
        <v>63</v>
      </c>
      <c r="B24" s="52"/>
      <c r="C24" s="52" t="str">
        <f>IF('2. Dev. Team'!F19&lt;&gt;" "," ","Developer Contact Person is not filled in.")</f>
        <v>Developer Contact Person is not filled in.</v>
      </c>
      <c r="D24" s="52"/>
      <c r="E24" s="52"/>
      <c r="F24" s="52"/>
      <c r="G24" s="52"/>
      <c r="H24" s="52"/>
      <c r="I24" s="52"/>
      <c r="J24" s="106"/>
    </row>
    <row r="25" spans="1:10" ht="12.75">
      <c r="A25" s="161">
        <f>'2. Dev. Team'!A14</f>
        <v>63</v>
      </c>
      <c r="B25" s="52"/>
      <c r="C25" s="52" t="str">
        <f>IF('2. Dev. Team'!F20&lt;&gt;" "," ","Developer Phone Number is not filled in.")</f>
        <v>Developer Phone Number is not filled in.</v>
      </c>
      <c r="D25" s="52"/>
      <c r="E25" s="52"/>
      <c r="F25" s="52"/>
      <c r="G25" s="52"/>
      <c r="H25" s="52"/>
      <c r="I25" s="52"/>
      <c r="J25" s="106"/>
    </row>
    <row r="26" spans="1:10" ht="12.75">
      <c r="A26" s="161">
        <f>'3. Sources Uses'!A8</f>
        <v>81</v>
      </c>
      <c r="B26" s="52"/>
      <c r="C26" s="52" t="str">
        <f>IF('3. Sources Uses'!G8&gt;0," ","Developer's Cash Equity is zero.   IS THIS CORRECT?")</f>
        <v>Developer's Cash Equity is zero.   IS THIS CORRECT?</v>
      </c>
      <c r="D26" s="52"/>
      <c r="E26" s="52"/>
      <c r="F26" s="52"/>
      <c r="G26" s="52"/>
      <c r="H26" s="52"/>
      <c r="I26" s="52"/>
      <c r="J26" s="106"/>
    </row>
    <row r="27" spans="1:10" ht="12.75">
      <c r="A27" s="161">
        <f>'3. Sources Uses'!A9</f>
        <v>82</v>
      </c>
      <c r="B27" s="52"/>
      <c r="C27" s="52" t="str">
        <f>IF(AND('3. Sources Uses'!G9=0,'1. Description'!H99&lt;&gt;" "),"Tax Credit Equity is zero.   Question 16 indicates that you are applying for tax credits.   IS THIS CORRECT?"," ")</f>
        <v>Tax Credit Equity is zero.   Question 16 indicates that you are applying for tax credits.   IS THIS CORRECT?</v>
      </c>
      <c r="D27" s="52"/>
      <c r="E27" s="52"/>
      <c r="F27" s="52"/>
      <c r="G27" s="52"/>
      <c r="H27" s="52"/>
      <c r="I27" s="52"/>
      <c r="J27" s="106"/>
    </row>
    <row r="28" spans="1:10" ht="12.75">
      <c r="A28" s="161">
        <f>'3. Sources Uses'!A20</f>
        <v>89</v>
      </c>
      <c r="B28" s="52"/>
      <c r="C28" s="52" t="str">
        <f>IF(OR(OR(OR(OR('3. Sources Uses'!G20&gt;0.12,'3. Sources Uses'!G22&gt;0.12),'3. Sources Uses'!G24&gt;0.12),'3. Sources Uses'!G26&gt;0.12),'3. Sources Uses'!G28&gt;0.12),"The Interest Rate for the subordinate debt appears to be incorrectly entered.   IS THIS CORRECT?"," ")</f>
        <v xml:space="preserve"> </v>
      </c>
      <c r="D28" s="52"/>
      <c r="E28" s="52"/>
      <c r="F28" s="52"/>
      <c r="G28" s="52"/>
      <c r="H28" s="52"/>
      <c r="I28" s="52"/>
      <c r="J28" s="106"/>
    </row>
    <row r="29" spans="1:10" ht="12.75">
      <c r="A29" s="161">
        <f>'3. Sources Uses'!A30</f>
        <v>94</v>
      </c>
      <c r="B29" s="52"/>
      <c r="C29" s="52" t="str">
        <f>IF('3. Sources Uses'!F30&gt;0," ","Total subordinate debt is zero.   IS THIS CORRECT?")</f>
        <v>Total subordinate debt is zero.   IS THIS CORRECT?</v>
      </c>
      <c r="D29" s="52"/>
      <c r="E29" s="52"/>
      <c r="F29" s="52"/>
      <c r="G29" s="52"/>
      <c r="H29" s="52"/>
      <c r="I29" s="52"/>
      <c r="J29" s="106"/>
    </row>
    <row r="30" spans="1:10" ht="12.75">
      <c r="A30" s="161">
        <f>'3. Sources Uses'!A33</f>
        <v>95</v>
      </c>
      <c r="B30" s="52"/>
      <c r="C30" s="52" t="str">
        <f>IF(OR(OR(OR(OR('3. Sources Uses'!G33&gt;0.15,'3. Sources Uses'!G34&gt;0.15),'3. Sources Uses'!G35&gt;0.15),'3. Sources Uses'!G36&gt;0.15),'3. Sources Uses'!G38&gt;0.15),"The Interest Rate for the permanent debt appears to be incorrectly entered.   IS THIS CORRECT?"," ")</f>
        <v xml:space="preserve"> </v>
      </c>
      <c r="D30" s="52"/>
      <c r="E30" s="52"/>
      <c r="F30" s="52"/>
      <c r="G30" s="52"/>
      <c r="H30" s="52"/>
      <c r="I30" s="52"/>
      <c r="J30" s="106"/>
    </row>
    <row r="31" spans="1:10" ht="12.75">
      <c r="A31" s="161">
        <f>'3. Sources Uses'!A41</f>
        <v>100</v>
      </c>
      <c r="B31" s="52"/>
      <c r="C31" s="52" t="str">
        <f>IF('3. Sources Uses'!F41&gt;0," ","Total permanent senior debt is zero.   IS THIS CORRECT?")</f>
        <v>Total permanent senior debt is zero.   IS THIS CORRECT?</v>
      </c>
      <c r="D31" s="52"/>
      <c r="E31" s="52"/>
      <c r="F31" s="52"/>
      <c r="G31" s="52"/>
      <c r="H31" s="52"/>
      <c r="I31" s="52"/>
      <c r="J31" s="106"/>
    </row>
    <row r="32" spans="1:10" ht="12.75">
      <c r="A32" s="161">
        <f>'3. Sources Uses'!A43</f>
        <v>101</v>
      </c>
      <c r="B32" s="52"/>
      <c r="C32" s="52" t="str">
        <f>IF(ABS(Output!E40)&gt;0.5,"Total Permanent Sources are less than the Total Development Cost (line 187).   IS THIS CORRECT?"," ")</f>
        <v xml:space="preserve"> </v>
      </c>
      <c r="D32" s="52"/>
      <c r="E32" s="52"/>
      <c r="F32" s="52"/>
      <c r="G32" s="52"/>
      <c r="H32" s="52"/>
      <c r="I32" s="52"/>
      <c r="J32" s="106"/>
    </row>
    <row r="33" spans="1:10" ht="12.75">
      <c r="A33" s="161">
        <f>'3. Sources Uses'!A46</f>
        <v>102</v>
      </c>
      <c r="B33" s="52"/>
      <c r="C33" s="52" t="str">
        <f>IF(OR(OR('3. Sources Uses'!G46&gt;0.15,'3. Sources Uses'!G49&gt;0.15),'3. Sources Uses'!G52&gt;0.15),"The Interest Rate for the construction debt appears to be incorrectly entered.   IS THIS CORRECT?"," ")</f>
        <v xml:space="preserve"> </v>
      </c>
      <c r="D33" s="52"/>
      <c r="E33" s="52"/>
      <c r="F33" s="52"/>
      <c r="G33" s="52"/>
      <c r="H33" s="52"/>
      <c r="I33" s="52"/>
      <c r="J33" s="106"/>
    </row>
    <row r="34" spans="1:10" ht="12.75">
      <c r="A34" s="161">
        <f>'3. Sources Uses'!A61</f>
        <v>105</v>
      </c>
      <c r="B34" s="52"/>
      <c r="C34" s="52" t="str">
        <f>IF('3. Sources Uses'!E61=" ","Name of person or firm who prepared construction cost estimate is not filled in."," ")</f>
        <v>Name of person or firm who prepared construction cost estimate is not filled in.</v>
      </c>
      <c r="D34" s="52"/>
      <c r="E34" s="52"/>
      <c r="F34" s="52"/>
      <c r="G34" s="52"/>
      <c r="H34" s="52"/>
      <c r="I34" s="52"/>
      <c r="J34" s="106"/>
    </row>
    <row r="35" spans="1:10" ht="12.75">
      <c r="A35" s="161">
        <f>'3. Sources Uses'!A63</f>
        <v>106</v>
      </c>
      <c r="B35" s="52"/>
      <c r="C35" s="52" t="str">
        <f>IF('3. Sources Uses'!E63=" ","The basis for the construction cost estimate is not filled in."," ")</f>
        <v>The basis for the construction cost estimate is not filled in.</v>
      </c>
      <c r="D35" s="52"/>
      <c r="E35" s="52"/>
      <c r="F35" s="52"/>
      <c r="G35" s="52"/>
      <c r="H35" s="52"/>
      <c r="I35" s="52"/>
      <c r="J35" s="106"/>
    </row>
    <row r="36" spans="1:10" ht="12.75">
      <c r="A36" s="161">
        <f>IF('3. Sources Uses'!F115&gt;0," ",'3. Sources Uses'!A115)</f>
        <v>156</v>
      </c>
      <c r="B36" s="52"/>
      <c r="C36" s="52" t="str">
        <f>IF('3. Sources Uses'!F115=0,"Total construction cost (exclusive of builder's overhead and profit) is zero.   IS THIS CORRECT?"," ")</f>
        <v>Total construction cost (exclusive of builder's overhead and profit) is zero.   IS THIS CORRECT?</v>
      </c>
      <c r="D36" s="52"/>
      <c r="E36" s="52"/>
      <c r="F36" s="52"/>
      <c r="G36" s="52"/>
      <c r="H36" s="52"/>
      <c r="I36" s="52"/>
      <c r="J36" s="106"/>
    </row>
    <row r="37" spans="1:10" ht="12.75">
      <c r="A37" s="161">
        <f>IF('3. Sources Uses'!F116+'3. Sources Uses'!F117&gt;0," ",'3. Sources Uses'!A116)</f>
        <v>157</v>
      </c>
      <c r="B37" s="52"/>
      <c r="C37" s="52" t="str">
        <f>IF(A37&gt;0,"Builder's overhead and profit is zero.   IS THIS CORRECT?"," ")</f>
        <v>Builder's overhead and profit is zero.   IS THIS CORRECT?</v>
      </c>
      <c r="D37" s="52"/>
      <c r="E37" s="52"/>
      <c r="F37" s="52"/>
      <c r="G37" s="52"/>
      <c r="H37" s="52"/>
      <c r="I37" s="52"/>
      <c r="J37" s="106"/>
    </row>
    <row r="38" spans="1:10" ht="13.5" thickBot="1">
      <c r="A38" s="168"/>
      <c r="B38" s="132"/>
      <c r="C38" s="132"/>
      <c r="D38" s="132"/>
      <c r="E38" s="132"/>
      <c r="F38" s="132"/>
      <c r="G38" s="132"/>
      <c r="H38" s="132"/>
      <c r="I38" s="132"/>
      <c r="J38" s="1152"/>
    </row>
    <row r="39" spans="1:10">
      <c r="A39" s="252"/>
      <c r="B39" s="252"/>
      <c r="C39" s="252"/>
      <c r="D39" s="252"/>
      <c r="E39" s="252"/>
      <c r="F39" s="252"/>
      <c r="G39" s="252"/>
      <c r="H39" s="252"/>
      <c r="I39" s="252"/>
      <c r="J39" s="252"/>
    </row>
    <row r="40" spans="1:10" ht="16.5" thickBot="1">
      <c r="A40" s="498" t="str">
        <f>'2. Dev. Team'!A1</f>
        <v>One Stop2000 Affordable Housing Finance Application [Version 1.21] ©</v>
      </c>
      <c r="B40" s="252"/>
      <c r="C40" s="252"/>
      <c r="D40" s="252"/>
      <c r="E40" s="252"/>
      <c r="F40" s="252"/>
      <c r="G40" s="252"/>
      <c r="H40" s="252"/>
      <c r="I40" s="252"/>
      <c r="J40" s="1139" t="s">
        <v>519</v>
      </c>
    </row>
    <row r="41" spans="1:10" ht="18.75" thickBot="1">
      <c r="A41" s="1153" t="s">
        <v>523</v>
      </c>
      <c r="B41" s="1141"/>
      <c r="C41" s="1141"/>
      <c r="D41" s="1141"/>
      <c r="E41" s="1141"/>
      <c r="F41" s="1141"/>
      <c r="G41" s="1141"/>
      <c r="H41" s="1141"/>
      <c r="I41" s="1141"/>
      <c r="J41" s="1142"/>
    </row>
    <row r="42" spans="1:10" s="1146" customFormat="1" ht="18" thickTop="1" thickBot="1">
      <c r="A42" s="1143" t="s">
        <v>459</v>
      </c>
      <c r="B42" s="1144"/>
      <c r="C42" s="1144"/>
      <c r="D42" s="1144"/>
      <c r="E42" s="1144"/>
      <c r="F42" s="1144"/>
      <c r="G42" s="1144"/>
      <c r="H42" s="1144"/>
      <c r="I42" s="1144"/>
      <c r="J42" s="1145"/>
    </row>
    <row r="43" spans="1:10" ht="12" thickTop="1">
      <c r="A43" s="1147"/>
      <c r="B43" s="1148"/>
      <c r="C43" s="1148"/>
      <c r="D43" s="1148"/>
      <c r="E43" s="1148"/>
      <c r="F43" s="1148"/>
      <c r="G43" s="1148"/>
      <c r="H43" s="1148"/>
      <c r="I43" s="1148"/>
      <c r="J43" s="1149"/>
    </row>
    <row r="44" spans="1:10" ht="15.75">
      <c r="A44" s="1150" t="s">
        <v>517</v>
      </c>
      <c r="B44" s="252"/>
      <c r="C44" s="138"/>
      <c r="D44" s="138"/>
      <c r="E44" s="138"/>
      <c r="F44" s="138"/>
      <c r="G44" s="138"/>
      <c r="H44" s="138"/>
      <c r="I44" s="138"/>
      <c r="J44" s="253"/>
    </row>
    <row r="45" spans="1:10">
      <c r="A45" s="1151"/>
      <c r="B45" s="252"/>
      <c r="C45" s="252"/>
      <c r="D45" s="252"/>
      <c r="E45" s="252"/>
      <c r="F45" s="252"/>
      <c r="G45" s="252"/>
      <c r="H45" s="252"/>
      <c r="I45" s="252"/>
      <c r="J45" s="253"/>
    </row>
    <row r="46" spans="1:10" ht="15.75">
      <c r="A46" s="1151"/>
      <c r="B46" s="252"/>
      <c r="C46" s="144" t="s">
        <v>518</v>
      </c>
      <c r="D46" s="252"/>
      <c r="E46" s="252"/>
      <c r="F46" s="252"/>
      <c r="G46" s="252"/>
      <c r="H46" s="252"/>
      <c r="I46" s="252"/>
      <c r="J46" s="253"/>
    </row>
    <row r="47" spans="1:10">
      <c r="A47" s="1151"/>
      <c r="B47" s="252"/>
      <c r="C47" s="252"/>
      <c r="D47" s="252"/>
      <c r="E47" s="252"/>
      <c r="F47" s="252"/>
      <c r="G47" s="252"/>
      <c r="H47" s="252"/>
      <c r="I47" s="252"/>
      <c r="J47" s="253"/>
    </row>
    <row r="48" spans="1:10" ht="12.75">
      <c r="A48" s="161">
        <f>'3. Sources Uses'!A118</f>
        <v>159</v>
      </c>
      <c r="B48" s="252"/>
      <c r="C48" s="52" t="str">
        <f>IF('3. Sources Uses'!F118&lt;&gt;SUM('3. Sources Uses'!F115:F117),"The Total Construction Cost does not equal sum of lines above.  Was the formula changed?  IS THIS CORRECT?"," ")</f>
        <v xml:space="preserve"> </v>
      </c>
      <c r="D48" s="252"/>
      <c r="E48" s="252"/>
      <c r="F48" s="252"/>
      <c r="G48" s="252"/>
      <c r="H48" s="252"/>
      <c r="I48" s="252"/>
      <c r="J48" s="253"/>
    </row>
    <row r="49" spans="1:10" ht="12.75">
      <c r="A49" s="161">
        <f>'3. Sources Uses'!A129</f>
        <v>163</v>
      </c>
      <c r="B49" s="52"/>
      <c r="C49" s="52" t="str">
        <f>IF('3. Sources Uses'!E129=0,"Acquistion cost (land and buildings) is zero.   IS THIS CORRECT?"," ")</f>
        <v>Acquistion cost (land and buildings) is zero.   IS THIS CORRECT?</v>
      </c>
      <c r="D49" s="52"/>
      <c r="E49" s="252"/>
      <c r="F49" s="252"/>
      <c r="G49" s="252"/>
      <c r="H49" s="252"/>
      <c r="I49" s="252"/>
      <c r="J49" s="253"/>
    </row>
    <row r="50" spans="1:10" ht="12.75">
      <c r="A50" s="161">
        <f>'3. Sources Uses'!A129</f>
        <v>163</v>
      </c>
      <c r="B50" s="52"/>
      <c r="C50" s="52" t="str">
        <f>IF('3. Sources Uses'!E129&lt;&gt;'3. Sources Uses'!E127+'3. Sources Uses'!E128,"Acquistion cost does not equal sum of lines above.  Was formula changed?  IS THIS CORRECT?"," ")</f>
        <v xml:space="preserve"> </v>
      </c>
      <c r="D50" s="52"/>
      <c r="E50" s="252"/>
      <c r="F50" s="252"/>
      <c r="G50" s="252"/>
      <c r="H50" s="252"/>
      <c r="I50" s="252"/>
      <c r="J50" s="253"/>
    </row>
    <row r="51" spans="1:10" ht="12.75">
      <c r="A51" s="161">
        <f>'3. Sources Uses'!A132</f>
        <v>165</v>
      </c>
      <c r="B51" s="52"/>
      <c r="C51" s="52" t="str">
        <f>IF('3. Sources Uses'!E132=0,"Construction contingency is zero.   IS THIS CORRECT?"," ")</f>
        <v>Construction contingency is zero.   IS THIS CORRECT?</v>
      </c>
      <c r="D51" s="52"/>
      <c r="E51" s="252"/>
      <c r="F51" s="252"/>
      <c r="G51" s="252"/>
      <c r="H51" s="252"/>
      <c r="I51" s="252"/>
      <c r="J51" s="253"/>
    </row>
    <row r="52" spans="1:10" ht="12.75">
      <c r="A52" s="161">
        <f>'3. Sources Uses'!A132</f>
        <v>165</v>
      </c>
      <c r="B52" s="52"/>
      <c r="C52" s="52" t="str">
        <f>IF('3. Sources Uses'!E132&lt;0.05*'3. Sources Uses'!E131,"Construction contingency appears to be low.   IS THIS CORRECT?"," ")</f>
        <v xml:space="preserve"> </v>
      </c>
      <c r="D52" s="52"/>
      <c r="E52" s="252"/>
      <c r="F52" s="252"/>
      <c r="G52" s="252"/>
      <c r="H52" s="252"/>
      <c r="I52" s="252"/>
      <c r="J52" s="253"/>
    </row>
    <row r="53" spans="1:10" ht="12.75">
      <c r="A53" s="161">
        <f>'3. Sources Uses'!A136</f>
        <v>167</v>
      </c>
      <c r="B53" s="52"/>
      <c r="C53" s="52" t="str">
        <f>IF('3. Sources Uses'!E136=0,"Architecture &amp; Engineering is zero.   IS THIS CORRECT?"," ")</f>
        <v>Architecture &amp; Engineering is zero.   IS THIS CORRECT?</v>
      </c>
      <c r="D53" s="52"/>
      <c r="E53" s="52"/>
      <c r="F53" s="52"/>
      <c r="G53" s="252"/>
      <c r="H53" s="252"/>
      <c r="I53" s="252"/>
      <c r="J53" s="253"/>
    </row>
    <row r="54" spans="1:10" ht="12.75">
      <c r="A54" s="161">
        <f>'3. Sources Uses'!A137</f>
        <v>168</v>
      </c>
      <c r="B54" s="52"/>
      <c r="C54" s="52" t="str">
        <f>IF('3. Sources Uses'!E137=0,"Survey and Permits is zero.   IS THIS CORRECT?"," ")</f>
        <v>Survey and Permits is zero.   IS THIS CORRECT?</v>
      </c>
      <c r="D54" s="52"/>
      <c r="E54" s="52"/>
      <c r="F54" s="52"/>
      <c r="G54" s="252"/>
      <c r="H54" s="252"/>
      <c r="I54" s="252"/>
      <c r="J54" s="253"/>
    </row>
    <row r="55" spans="1:10" ht="12.75">
      <c r="A55" s="161">
        <f>'3. Sources Uses'!A138</f>
        <v>169</v>
      </c>
      <c r="B55" s="52"/>
      <c r="C55" s="52" t="str">
        <f>IF('3. Sources Uses'!E138=0,"Clerk of the Works is zero.   IS THIS CORRECT?"," ")</f>
        <v>Clerk of the Works is zero.   IS THIS CORRECT?</v>
      </c>
      <c r="D55" s="252"/>
      <c r="E55" s="252"/>
      <c r="F55" s="252"/>
      <c r="G55" s="252"/>
      <c r="H55" s="252"/>
      <c r="I55" s="252"/>
      <c r="J55" s="253"/>
    </row>
    <row r="56" spans="1:10" ht="12.75">
      <c r="A56" s="161">
        <f>'3. Sources Uses'!A140</f>
        <v>171</v>
      </c>
      <c r="B56" s="52"/>
      <c r="C56" s="52" t="str">
        <f>IF('3. Sources Uses'!E140=0,"Bond Premium is zero.   IS THIS CORRECT?"," ")</f>
        <v>Bond Premium is zero.   IS THIS CORRECT?</v>
      </c>
      <c r="D56" s="252"/>
      <c r="E56" s="252"/>
      <c r="F56" s="252"/>
      <c r="G56" s="252"/>
      <c r="H56" s="252"/>
      <c r="I56" s="252"/>
      <c r="J56" s="253"/>
    </row>
    <row r="57" spans="1:10" ht="12.75">
      <c r="A57" s="161">
        <f>'3. Sources Uses'!A141</f>
        <v>172</v>
      </c>
      <c r="B57" s="52"/>
      <c r="C57" s="52" t="str">
        <f>IF('3. Sources Uses'!E141=0,"Legal is zero.   IS THIS CORRECT?"," ")</f>
        <v>Legal is zero.   IS THIS CORRECT?</v>
      </c>
      <c r="D57" s="252"/>
      <c r="E57" s="252"/>
      <c r="F57" s="252"/>
      <c r="G57" s="252"/>
      <c r="H57" s="252"/>
      <c r="I57" s="252"/>
      <c r="J57" s="253"/>
    </row>
    <row r="58" spans="1:10" ht="12.75">
      <c r="A58" s="161">
        <f>'3. Sources Uses'!A142</f>
        <v>173</v>
      </c>
      <c r="B58" s="52"/>
      <c r="C58" s="52" t="str">
        <f>IF('3. Sources Uses'!E142=0,"Title and Recording costs are zero.   IS THIS CORRECT?"," ")</f>
        <v>Title and Recording costs are zero.   IS THIS CORRECT?</v>
      </c>
      <c r="D58" s="52"/>
      <c r="E58" s="52"/>
      <c r="F58" s="52"/>
      <c r="G58" s="52"/>
      <c r="H58" s="52"/>
      <c r="I58" s="52"/>
      <c r="J58" s="106"/>
    </row>
    <row r="59" spans="1:10" ht="12.75">
      <c r="A59" s="161">
        <f>'3. Sources Uses'!A143</f>
        <v>174</v>
      </c>
      <c r="B59" s="52"/>
      <c r="C59" s="52" t="str">
        <f>IF('3. Sources Uses'!E143=0,"Accounting and Cost Certification Expenses are zero.   IS THIS CORRECT?"," ")</f>
        <v>Accounting and Cost Certification Expenses are zero.   IS THIS CORRECT?</v>
      </c>
      <c r="D59" s="52"/>
      <c r="E59" s="52"/>
      <c r="F59" s="52"/>
      <c r="G59" s="52"/>
      <c r="H59" s="52"/>
      <c r="I59" s="52"/>
      <c r="J59" s="106"/>
    </row>
    <row r="60" spans="1:10" ht="12.75">
      <c r="A60" s="161">
        <f>'3. Sources Uses'!A144</f>
        <v>175</v>
      </c>
      <c r="B60" s="52"/>
      <c r="C60" s="52" t="str">
        <f>IF('3. Sources Uses'!E144=0,"Marketing and Rent Up Expenses are zero.   IS THIS CORRECT?"," ")</f>
        <v>Marketing and Rent Up Expenses are zero.   IS THIS CORRECT?</v>
      </c>
      <c r="D60" s="52"/>
      <c r="E60" s="52"/>
      <c r="F60" s="52"/>
      <c r="G60" s="52"/>
      <c r="H60" s="52"/>
      <c r="I60" s="52"/>
      <c r="J60" s="106"/>
    </row>
    <row r="61" spans="1:10" ht="12.75">
      <c r="A61" s="161">
        <f>'3. Sources Uses'!A145</f>
        <v>176</v>
      </c>
      <c r="B61" s="52"/>
      <c r="C61" s="52" t="str">
        <f>IF('3. Sources Uses'!E145=0,"Real Estate Taxes is zero.   IS THIS CORRECT?"," ")</f>
        <v>Real Estate Taxes is zero.   IS THIS CORRECT?</v>
      </c>
      <c r="D61" s="52"/>
      <c r="E61" s="52"/>
      <c r="F61" s="52"/>
      <c r="G61" s="52"/>
      <c r="H61" s="52"/>
      <c r="I61" s="52"/>
      <c r="J61" s="106"/>
    </row>
    <row r="62" spans="1:10" ht="12.75">
      <c r="A62" s="161">
        <f>'3. Sources Uses'!A146</f>
        <v>177</v>
      </c>
      <c r="B62" s="52"/>
      <c r="C62" s="52" t="str">
        <f>IF('3. Sources Uses'!E146=0,"Insurance is zero.   IS THIS CORRECT?"," ")</f>
        <v>Insurance is zero.   IS THIS CORRECT?</v>
      </c>
      <c r="D62" s="52"/>
      <c r="E62" s="52"/>
      <c r="F62" s="52"/>
      <c r="G62" s="52"/>
      <c r="H62" s="52"/>
      <c r="I62" s="52"/>
      <c r="J62" s="106"/>
    </row>
    <row r="63" spans="1:10" ht="12.75">
      <c r="A63" s="161">
        <f>'3. Sources Uses'!A147</f>
        <v>178</v>
      </c>
      <c r="B63" s="52"/>
      <c r="C63" s="52" t="str">
        <f>IF(AND('3. Sources Uses'!E147&lt;1,relocation_of_tenants="yes"),"Relocation is zero.   Line 29 indicates relocation will be required.   IS THIS CORRECT?"," ")</f>
        <v xml:space="preserve"> </v>
      </c>
      <c r="D63" s="52"/>
      <c r="E63" s="52"/>
      <c r="F63" s="52"/>
      <c r="G63" s="52"/>
      <c r="H63" s="52"/>
      <c r="I63" s="52"/>
      <c r="J63" s="106"/>
    </row>
    <row r="64" spans="1:10" ht="12.75">
      <c r="A64" s="161">
        <f>'3. Sources Uses'!A148</f>
        <v>179</v>
      </c>
      <c r="B64" s="52"/>
      <c r="C64" s="52" t="str">
        <f>IF('3. Sources Uses'!E148=0,"Appraisal is zero.   IS THIS CORRECT?"," ")</f>
        <v>Appraisal is zero.   IS THIS CORRECT?</v>
      </c>
      <c r="D64" s="52"/>
      <c r="E64" s="52"/>
      <c r="F64" s="52"/>
      <c r="G64" s="52"/>
      <c r="H64" s="52"/>
      <c r="I64" s="52"/>
      <c r="J64" s="106"/>
    </row>
    <row r="65" spans="1:10" ht="12.75">
      <c r="A65" s="161">
        <f>'3. Sources Uses'!A149</f>
        <v>180</v>
      </c>
      <c r="B65" s="52"/>
      <c r="C65" s="52" t="str">
        <f>IF('3. Sources Uses'!E149=0,"Security is zero.   IS THIS CORRECT?"," ")</f>
        <v>Security is zero.   IS THIS CORRECT?</v>
      </c>
      <c r="D65" s="52"/>
      <c r="E65" s="52"/>
      <c r="F65" s="52"/>
      <c r="G65" s="52"/>
      <c r="H65" s="52"/>
      <c r="I65" s="52"/>
      <c r="J65" s="106"/>
    </row>
    <row r="66" spans="1:10" ht="12.75">
      <c r="A66" s="161">
        <f>'3. Sources Uses'!A150</f>
        <v>181</v>
      </c>
      <c r="B66" s="52"/>
      <c r="C66" s="52" t="str">
        <f>IF('3. Sources Uses'!E150=0,"Construction Loan Interest is zero.   IS THIS CORRECT?"," ")</f>
        <v>Construction Loan Interest is zero.   IS THIS CORRECT?</v>
      </c>
      <c r="D66" s="52"/>
      <c r="E66" s="52"/>
      <c r="F66" s="52"/>
      <c r="G66" s="52"/>
      <c r="H66" s="52"/>
      <c r="I66" s="52"/>
      <c r="J66" s="106"/>
    </row>
    <row r="67" spans="1:10" ht="12.75">
      <c r="A67" s="161">
        <f>'3. Sources Uses'!A151</f>
        <v>182</v>
      </c>
      <c r="B67" s="52"/>
      <c r="C67" s="52" t="str">
        <f>IF('3. Sources Uses'!E151=0,"Inspecting Engineer is zero.   IS THIS CORRECT?"," ")</f>
        <v>Inspecting Engineer is zero.   IS THIS CORRECT?</v>
      </c>
      <c r="D67" s="52"/>
      <c r="E67" s="52"/>
      <c r="F67" s="52"/>
      <c r="G67" s="52"/>
      <c r="H67" s="52"/>
      <c r="I67" s="52"/>
      <c r="J67" s="106"/>
    </row>
    <row r="68" spans="1:10" ht="12.75">
      <c r="A68" s="161">
        <f>'3. Sources Uses'!A152</f>
        <v>183</v>
      </c>
      <c r="B68" s="52"/>
      <c r="C68" s="52" t="str">
        <f>IF(SUM('3. Sources Uses'!E152:E154)=0,"Financing Fees are zero.   IS THIS CORRECT?"," ")</f>
        <v>Financing Fees are zero.   IS THIS CORRECT?</v>
      </c>
      <c r="D68" s="52"/>
      <c r="E68" s="52"/>
      <c r="F68" s="52"/>
      <c r="G68" s="52"/>
      <c r="H68" s="52"/>
      <c r="I68" s="52"/>
      <c r="J68" s="106"/>
    </row>
    <row r="69" spans="1:10" ht="12.75">
      <c r="A69" s="161">
        <f>'3. Sources Uses'!A161</f>
        <v>192</v>
      </c>
      <c r="B69" s="52"/>
      <c r="C69" s="52" t="str">
        <f>IF('3. Sources Uses'!E161=0,"Soft Cost Contingency is zero.   IS THIS CORRECT?"," ")</f>
        <v>Soft Cost Contingency is zero.   IS THIS CORRECT?</v>
      </c>
      <c r="D69" s="52"/>
      <c r="E69" s="52"/>
      <c r="F69" s="52"/>
      <c r="G69" s="52"/>
      <c r="H69" s="52"/>
      <c r="I69" s="52"/>
      <c r="J69" s="106"/>
    </row>
    <row r="70" spans="1:10" ht="12.75">
      <c r="A70" s="161">
        <f>'3. Sources Uses'!A161</f>
        <v>192</v>
      </c>
      <c r="B70" s="52"/>
      <c r="C70" s="52" t="str">
        <f>IF('3. Sources Uses'!E161&lt;0.05*SUM('3. Sources Uses'!E136:E160),"Soft Cost Contingency appears to be low.   IS THIS CORRECT?"," ")</f>
        <v xml:space="preserve"> </v>
      </c>
      <c r="D70" s="52"/>
      <c r="E70" s="52"/>
      <c r="F70" s="52"/>
      <c r="G70" s="52"/>
      <c r="H70" s="52"/>
      <c r="I70" s="52"/>
      <c r="J70" s="106"/>
    </row>
    <row r="71" spans="1:10" ht="12.75">
      <c r="A71" s="161">
        <f>'3. Sources Uses'!A162</f>
        <v>193</v>
      </c>
      <c r="B71" s="52"/>
      <c r="C71" s="52" t="str">
        <f>IF('3. Sources Uses'!E162&lt;&gt;SUM('3. Sources Uses'!E136:E161),"Subtotal does not equal sum of lines above.  Was formula changed?  IS THIS CORRECT?"," ")</f>
        <v xml:space="preserve"> </v>
      </c>
      <c r="D71" s="52"/>
      <c r="E71" s="52"/>
      <c r="F71" s="52"/>
      <c r="G71" s="52"/>
      <c r="H71" s="52"/>
      <c r="I71" s="52"/>
      <c r="J71" s="106"/>
    </row>
    <row r="72" spans="1:10" ht="12.75">
      <c r="A72" s="161">
        <f>'3. Sources Uses'!A168</f>
        <v>196</v>
      </c>
      <c r="B72" s="52"/>
      <c r="C72" s="52" t="str">
        <f>IF('3. Sources Uses'!E168&gt;0.1*'3. Sources Uses'!E164,"Developer Overhead appears to be high.   IS THIS CORRECT?"," ")</f>
        <v xml:space="preserve"> </v>
      </c>
      <c r="D72" s="52"/>
      <c r="E72" s="52"/>
      <c r="F72" s="52"/>
      <c r="G72" s="52"/>
      <c r="H72" s="52"/>
      <c r="I72" s="52"/>
      <c r="J72" s="106"/>
    </row>
    <row r="73" spans="1:10" ht="12.75">
      <c r="A73" s="161">
        <f>'3. Sources Uses'!A169</f>
        <v>197</v>
      </c>
      <c r="B73" s="52"/>
      <c r="C73" s="52" t="str">
        <f>IF('3. Sources Uses'!E169&gt;0.1*'3. Sources Uses'!E164,"Developer Profit appears to be high.   IS THIS CORRECT?"," ")</f>
        <v xml:space="preserve"> </v>
      </c>
      <c r="D73" s="52"/>
      <c r="E73" s="52"/>
      <c r="F73" s="52"/>
      <c r="G73" s="52"/>
      <c r="H73" s="52"/>
      <c r="I73" s="52"/>
      <c r="J73" s="106"/>
    </row>
    <row r="74" spans="1:10" ht="12.75">
      <c r="A74" s="161">
        <f>'3. Sources Uses'!A191</f>
        <v>207</v>
      </c>
      <c r="B74" s="52"/>
      <c r="C74" s="52" t="str">
        <f>IF(AND('3. Sources Uses'!G9&gt;0,'3. Sources Uses'!I191&lt;0.06*'3. Sources Uses'!G9),"Syndication costs appear to be low.   IS THIS CORRECT?"," ")</f>
        <v xml:space="preserve"> </v>
      </c>
      <c r="D74" s="52"/>
      <c r="E74" s="52"/>
      <c r="F74" s="52"/>
      <c r="G74" s="52"/>
      <c r="H74" s="52"/>
      <c r="I74" s="52"/>
      <c r="J74" s="106"/>
    </row>
    <row r="75" spans="1:10" ht="12.75">
      <c r="A75" s="161">
        <f>'3. Sources Uses'!A191</f>
        <v>207</v>
      </c>
      <c r="B75" s="52"/>
      <c r="C75" s="52" t="str">
        <f>IF('3. Sources Uses'!I191&lt;&gt;SUM('3. Sources Uses'!I185:I190),"Syndication costs does not equal sum of lines above.  Was formula changed?  IS THIS CORRECT?"," ")</f>
        <v xml:space="preserve"> </v>
      </c>
      <c r="D75" s="52"/>
      <c r="E75" s="52"/>
      <c r="F75" s="52"/>
      <c r="G75" s="52"/>
      <c r="H75" s="52"/>
      <c r="I75" s="52"/>
      <c r="J75" s="106"/>
    </row>
    <row r="76" spans="1:10" ht="12.75">
      <c r="A76" s="161">
        <f>'3. Sources Uses'!A203</f>
        <v>216</v>
      </c>
      <c r="B76" s="52"/>
      <c r="C76" s="52" t="str">
        <f>'3. Sources Uses'!C205</f>
        <v>Check: Line 214 is the same as line 195.</v>
      </c>
      <c r="D76" s="52"/>
      <c r="E76" s="52"/>
      <c r="F76" s="52"/>
      <c r="G76" s="52"/>
      <c r="H76" s="52"/>
      <c r="I76" s="52"/>
      <c r="J76" s="106"/>
    </row>
    <row r="77" spans="1:10" ht="12.75">
      <c r="A77" s="161">
        <f>'3. Sources Uses'!A223</f>
        <v>220</v>
      </c>
      <c r="B77" s="52"/>
      <c r="C77" s="52" t="str">
        <f>IF(OR('3. Sources Uses'!I223&lt;1.1,'3. Sources Uses'!I223&gt;1.2),"Minimum debt service coverage appears to be incorrect.   IS THIS CORRECT?"," ")</f>
        <v>Minimum debt service coverage appears to be incorrect.   IS THIS CORRECT?</v>
      </c>
      <c r="D77" s="52"/>
      <c r="E77" s="52"/>
      <c r="F77" s="52"/>
      <c r="G77" s="52"/>
      <c r="H77" s="52"/>
      <c r="I77" s="52"/>
      <c r="J77" s="106"/>
    </row>
    <row r="78" spans="1:10" ht="12.75">
      <c r="A78" s="161">
        <f>'4. Operating'!A7</f>
        <v>222</v>
      </c>
      <c r="B78" s="52"/>
      <c r="C78" s="52" t="str">
        <f>IF(OR(OR(OR(OR(OR('4. Operating'!H8&gt;'4. Operating'!G218,'4. Operating'!H9&gt;'4. Operating'!G219),'4. Operating'!H10&gt;'4. Operating'!G220),'4. Operating'!H11&gt;'4. Operating'!G221),'4. Operating'!H12&gt;'4. Operating'!G222),'4. Operating'!H13&gt;'4. Operating'!G223),"Low-Income (Rental Assisted) Rents appear to be high.   IS THIS CORRECT?"," ")</f>
        <v xml:space="preserve"> </v>
      </c>
      <c r="D78" s="52"/>
      <c r="E78" s="52"/>
      <c r="F78" s="52"/>
      <c r="G78" s="52"/>
      <c r="H78" s="52"/>
      <c r="I78" s="52"/>
      <c r="J78" s="106"/>
    </row>
    <row r="79" spans="1:10" ht="12.75">
      <c r="A79" s="161">
        <f>'4. Operating'!A15</f>
        <v>223</v>
      </c>
      <c r="B79" s="52"/>
      <c r="C79" s="52" t="str">
        <f>IF(OR(OR(OR(OR(OR('4. Operating'!H16&gt;'4. Operating'!G218,'4. Operating'!H17&gt;'4. Operating'!G219),'4. Operating'!H18&gt;'4. Operating'!G220),'4. Operating'!H19&gt;'4. Operating'!G221),'4. Operating'!H20&gt;'4. Operating'!G222),'4. Operating'!H21&gt;'4. Operating'!G223),"Low-Income (below 50%) Rents appear to be high.   IS THIS CORRECT?"," ")</f>
        <v xml:space="preserve"> </v>
      </c>
      <c r="D79" s="52"/>
      <c r="E79" s="52"/>
      <c r="F79" s="52"/>
      <c r="G79" s="52"/>
      <c r="H79" s="52"/>
      <c r="I79" s="52"/>
      <c r="J79" s="106"/>
    </row>
    <row r="80" spans="1:10" ht="12.75">
      <c r="A80" s="161">
        <f>'4. Operating'!A23</f>
        <v>224</v>
      </c>
      <c r="B80" s="52"/>
      <c r="C80" s="52" t="str">
        <f>IF(OR(OR(OR(OR(OR('4. Operating'!H24&gt;'4. Operating'!H218,'4. Operating'!H25&gt;'4. Operating'!H219),'4. Operating'!H26&gt;'4. Operating'!H220),'4. Operating'!H27&gt;'4. Operating'!H221),'4. Operating'!H28&gt;'4. Operating'!H222),'4. Operating'!H29&gt;'4. Operating'!H223),"Low-Income (below 60%) Rents appear to be high.   IS THIS CORRECT?"," ")</f>
        <v xml:space="preserve"> </v>
      </c>
      <c r="D80" s="52"/>
      <c r="E80" s="52"/>
      <c r="F80" s="52"/>
      <c r="G80" s="52"/>
      <c r="H80" s="52"/>
      <c r="I80" s="52"/>
      <c r="J80" s="106"/>
    </row>
    <row r="81" spans="1:10" ht="12.75">
      <c r="A81" s="161">
        <f>'4. Operating'!A31</f>
        <v>225</v>
      </c>
      <c r="B81" s="52"/>
      <c r="C81" s="52" t="str">
        <f>IF(OR(OR(OR(OR(OR('4. Operating'!H32&gt;'4. Operating'!I218,'4. Operating'!H33&gt;'4. Operating'!I219),'4. Operating'!H34&gt;'4. Operating'!I220),'4. Operating'!H35&gt;'4. Operating'!I221),'4. Operating'!H36&gt;'4. Operating'!I222),'4. Operating'!H37&gt;'4. Operating'!I223),"Moderate-Income Rents appear to be high.   IS THIS CORRECT?"," ")</f>
        <v xml:space="preserve"> </v>
      </c>
      <c r="D81" s="52"/>
      <c r="E81" s="52"/>
      <c r="F81" s="52"/>
      <c r="G81" s="52"/>
      <c r="H81" s="52"/>
      <c r="I81" s="52"/>
      <c r="J81" s="106"/>
    </row>
    <row r="82" spans="1:10" ht="12.75">
      <c r="A82" s="161">
        <f>'4. Operating'!A48</f>
        <v>227</v>
      </c>
      <c r="B82" s="52"/>
      <c r="C82" s="52" t="str">
        <f>IF(AND('4. Operating'!D48&gt;0,'4. Operating'!F48=0),"Commercial Rents (per square foot) have not been filled in, and the project appears to have commercial space. "," ")</f>
        <v xml:space="preserve"> </v>
      </c>
      <c r="D82" s="52"/>
      <c r="E82" s="52"/>
      <c r="F82" s="52"/>
      <c r="G82" s="52"/>
      <c r="H82" s="52"/>
      <c r="I82" s="52"/>
      <c r="J82" s="106"/>
    </row>
    <row r="83" spans="1:10" ht="12.75">
      <c r="A83" s="161">
        <f>'4. Operating'!A48</f>
        <v>227</v>
      </c>
      <c r="B83" s="52"/>
      <c r="C83" s="52" t="str">
        <f>IF('4. Operating'!F48&gt;20,"'Commercial Rents (per square foot)' appear to be high.   IS THIS CORRECT?"," ")</f>
        <v xml:space="preserve"> </v>
      </c>
      <c r="D83" s="52"/>
      <c r="E83" s="52"/>
      <c r="F83" s="52"/>
      <c r="G83" s="52"/>
      <c r="H83" s="52"/>
      <c r="I83" s="52"/>
      <c r="J83" s="106"/>
    </row>
    <row r="84" spans="1:10" ht="12.75">
      <c r="A84" s="161">
        <f>'4. Operating'!A51</f>
        <v>228</v>
      </c>
      <c r="B84" s="52"/>
      <c r="C84" s="52" t="str">
        <f>IF(AND('4. Operating'!D51&gt;0,'4. Operating'!F51=0),"Parking Income(per space) has not been filled in, and the project has parking spaces.Is parking included in the rent? "," ")</f>
        <v xml:space="preserve"> </v>
      </c>
      <c r="D84" s="52"/>
      <c r="E84" s="52"/>
      <c r="F84" s="52"/>
      <c r="G84" s="52"/>
      <c r="H84" s="52"/>
      <c r="I84" s="52"/>
      <c r="J84" s="106"/>
    </row>
    <row r="85" spans="1:10" ht="12.75">
      <c r="A85" s="161">
        <f>'4. Operating'!A67</f>
        <v>231</v>
      </c>
      <c r="B85" s="52"/>
      <c r="C85" s="52" t="str">
        <f>IF(AND('1. Description'!D72&gt;0,'4. Operating'!F67&lt;0.03),"The vacancy allowance for the rental-assisted units appears low.  IS THIS CORRECT? "," ")</f>
        <v xml:space="preserve"> </v>
      </c>
      <c r="D85" s="52"/>
      <c r="E85" s="52"/>
      <c r="F85" s="52"/>
      <c r="G85" s="52"/>
      <c r="H85" s="52"/>
      <c r="I85" s="52"/>
      <c r="J85" s="106"/>
    </row>
    <row r="86" spans="1:10" ht="12.75">
      <c r="A86" s="161">
        <f>'4. Operating'!A68</f>
        <v>232</v>
      </c>
      <c r="B86" s="52"/>
      <c r="C86" s="52" t="str">
        <f>IF(AND('1. Description'!E72&gt;0,'4. Operating'!F68&lt;0.05),"The vacancy allowance for the low-income (below 50%) units appears low.  IS THIS CORRECT? "," ")</f>
        <v xml:space="preserve"> </v>
      </c>
      <c r="D86" s="52"/>
      <c r="E86" s="52"/>
      <c r="F86" s="52"/>
      <c r="G86" s="52"/>
      <c r="H86" s="52"/>
      <c r="I86" s="52"/>
      <c r="J86" s="106"/>
    </row>
    <row r="87" spans="1:10" ht="12.75">
      <c r="A87" s="161">
        <f>'4. Operating'!A69</f>
        <v>233</v>
      </c>
      <c r="B87" s="52"/>
      <c r="C87" s="52" t="str">
        <f>IF(AND('1. Description'!F72&gt;0,'4. Operating'!F69&lt;0.05),"The vacancy allowance for the low-income (below 60%) units appears low.  IS THIS CORRECT? "," ")</f>
        <v xml:space="preserve"> </v>
      </c>
      <c r="D87" s="52"/>
      <c r="E87" s="52"/>
      <c r="F87" s="52"/>
      <c r="G87" s="52"/>
      <c r="H87" s="52"/>
      <c r="I87" s="52"/>
      <c r="J87" s="106"/>
    </row>
    <row r="88" spans="1:10" ht="12.75">
      <c r="A88" s="161">
        <f>'4. Operating'!A70</f>
        <v>234</v>
      </c>
      <c r="B88" s="52"/>
      <c r="C88" s="52" t="str">
        <f>IF(AND('1. Description'!G72&gt;0,'4. Operating'!F70&lt;0.05),"'The vacancy allowance for the moderate income units appears low.  IS THIS CORRECT? "," ")</f>
        <v xml:space="preserve"> </v>
      </c>
      <c r="D88" s="52"/>
      <c r="E88" s="52"/>
      <c r="F88" s="52"/>
      <c r="G88" s="52"/>
      <c r="H88" s="52"/>
      <c r="I88" s="52"/>
      <c r="J88" s="106"/>
    </row>
    <row r="89" spans="1:10" ht="12.75">
      <c r="A89" s="161">
        <f>'4. Operating'!A71</f>
        <v>235</v>
      </c>
      <c r="B89" s="52"/>
      <c r="C89" s="52" t="str">
        <f>IF(AND('1. Description'!H72&gt;0,'4. Operating'!F71&lt;0.05),"The vacancy allowance for the market-rate units appears low.  IS THIS CORRECT? "," ")</f>
        <v xml:space="preserve"> </v>
      </c>
      <c r="D89" s="52"/>
      <c r="E89" s="52"/>
      <c r="F89" s="52"/>
      <c r="G89" s="52"/>
      <c r="H89" s="52"/>
      <c r="I89" s="52"/>
      <c r="J89" s="106"/>
    </row>
    <row r="90" spans="1:10" ht="12.75">
      <c r="A90" s="161">
        <f>'4. Operating'!A75</f>
        <v>237</v>
      </c>
      <c r="B90" s="52"/>
      <c r="C90" s="585" t="str">
        <f>IF(AND('1. Description'!D72&gt;0,SUM('4. Operating'!F75:'4. Operating'!I75)&gt;0.2),"The trending assumptions for the rental-assisted rents appear high.  IS THIS CORRECT? "," ")</f>
        <v xml:space="preserve"> </v>
      </c>
      <c r="D90" s="52"/>
      <c r="E90" s="52"/>
      <c r="F90" s="52"/>
      <c r="G90" s="52"/>
      <c r="H90" s="52"/>
      <c r="I90" s="52"/>
      <c r="J90" s="106"/>
    </row>
    <row r="91" spans="1:10" ht="12.75">
      <c r="A91" s="161">
        <f>'4. Operating'!A76</f>
        <v>238</v>
      </c>
      <c r="B91" s="52"/>
      <c r="C91" s="52" t="str">
        <f>IF(AND('1. Description'!E72&gt;0,SUM('4. Operating'!F76:'4. Operating'!I76)&gt;0.2),"The trending assumptions for the low-income (below 50%) rents appear high.  IS THIS CORRECT? "," ")</f>
        <v xml:space="preserve"> </v>
      </c>
      <c r="D91" s="52"/>
      <c r="E91" s="52"/>
      <c r="F91" s="52"/>
      <c r="G91" s="52"/>
      <c r="H91" s="52"/>
      <c r="I91" s="52"/>
      <c r="J91" s="106"/>
    </row>
    <row r="92" spans="1:10" ht="12.75">
      <c r="A92" s="161">
        <f>'4. Operating'!A77</f>
        <v>239</v>
      </c>
      <c r="B92" s="52"/>
      <c r="C92" s="52" t="str">
        <f>IF(AND('1. Description'!F72&gt;0,SUM('4. Operating'!F77:'4. Operating'!I77)&gt;0.2),"The trending assumptions for the low-income (below 60%) rents appear high.  IS THIS CORRECT? "," ")</f>
        <v xml:space="preserve"> </v>
      </c>
      <c r="D92" s="52"/>
      <c r="E92" s="52"/>
      <c r="F92" s="52"/>
      <c r="G92" s="52"/>
      <c r="H92" s="52"/>
      <c r="I92" s="52"/>
      <c r="J92" s="106"/>
    </row>
    <row r="93" spans="1:10" ht="12.75">
      <c r="A93" s="161">
        <f>'4. Operating'!A78</f>
        <v>240</v>
      </c>
      <c r="B93" s="52"/>
      <c r="C93" s="52" t="str">
        <f>IF(AND('1. Description'!G72&gt;0,SUM('4. Operating'!F78:'4. Operating'!I78)&gt;0.2),"The trending assumptions for the moderate/other income rents appear high.  IS THIS CORRECT? "," ")</f>
        <v xml:space="preserve"> </v>
      </c>
      <c r="D93" s="52"/>
      <c r="E93" s="52"/>
      <c r="F93" s="52"/>
      <c r="G93" s="52"/>
      <c r="H93" s="52"/>
      <c r="I93" s="52"/>
      <c r="J93" s="106"/>
    </row>
    <row r="94" spans="1:10" ht="12.75">
      <c r="A94" s="161">
        <f>'4. Operating'!A79</f>
        <v>241</v>
      </c>
      <c r="B94" s="52"/>
      <c r="C94" s="52" t="str">
        <f>IF(AND('1. Description'!H72&gt;0,SUM('4. Operating'!F79:'4. Operating'!I79)&gt;0.2),"The trending assumptions for the market-rate rents appear high.  IS THIS CORRECT? "," ")</f>
        <v xml:space="preserve"> </v>
      </c>
      <c r="D94" s="52"/>
      <c r="E94" s="52"/>
      <c r="F94" s="52"/>
      <c r="G94" s="52"/>
      <c r="H94" s="52"/>
      <c r="I94" s="52"/>
      <c r="J94" s="106"/>
    </row>
    <row r="95" spans="1:10" ht="12.75">
      <c r="A95" s="161">
        <f>'4. Operating'!A80</f>
        <v>242</v>
      </c>
      <c r="B95" s="52"/>
      <c r="C95" s="52" t="str">
        <f>IF(AND('4. Operating'!D48&gt;0,SUM('4. Operating'!F80:'4. Operating'!I80)&gt;0.2),"The trending assumptions for the commercial rents appear high.  IS THIS CORRECT? "," ")</f>
        <v xml:space="preserve"> </v>
      </c>
      <c r="D95" s="52"/>
      <c r="E95" s="52"/>
      <c r="F95" s="52"/>
      <c r="G95" s="52"/>
      <c r="H95" s="52"/>
      <c r="I95" s="52"/>
      <c r="J95" s="106"/>
    </row>
    <row r="96" spans="1:10" ht="12.75">
      <c r="A96" s="161">
        <f>'4. Operating'!A81</f>
        <v>243</v>
      </c>
      <c r="B96" s="52"/>
      <c r="C96" s="1154" t="str">
        <f>IF(SUM('4. Operating'!J75:J80)&gt;0,"The trending assumptions appear to be incomplete.  These assumptions are important for the long-term pro-forma."," ")</f>
        <v xml:space="preserve"> </v>
      </c>
      <c r="D96" s="52"/>
      <c r="E96" s="52"/>
      <c r="F96" s="52"/>
      <c r="G96" s="52"/>
      <c r="H96" s="52"/>
      <c r="I96" s="52"/>
      <c r="J96" s="106"/>
    </row>
    <row r="97" spans="1:10" ht="12.75">
      <c r="A97" s="161">
        <f>'4. Operating'!A125</f>
        <v>250</v>
      </c>
      <c r="B97" s="52"/>
      <c r="C97" s="104" t="str">
        <f>IF('4. Operating'!E125&gt;0.5*'4. Operating'!F119,"The management fee appears to be too high.  IS THIS CORRECT? "," ")</f>
        <v xml:space="preserve"> </v>
      </c>
      <c r="D97" s="52"/>
      <c r="E97" s="52"/>
      <c r="F97" s="52"/>
      <c r="G97" s="52"/>
      <c r="H97" s="52"/>
      <c r="I97" s="52"/>
      <c r="J97" s="106"/>
    </row>
    <row r="98" spans="1:10" ht="12.75">
      <c r="A98" s="161">
        <f>'4. Operating'!A178</f>
        <v>292</v>
      </c>
      <c r="B98" s="52"/>
      <c r="C98" s="52" t="str">
        <f>IF('4. Operating'!E178&lt;&gt;'4. Operating'!E125+'4. Operating'!E139+'4. Operating'!E153+'4. Operating'!E155+'4. Operating'!E159+'4. Operating'!E165+'4. Operating'!E167+'4. Operating'!E169+'4. Operating'!E176,"'The Total Expenses does not equal sum of lines above.  Has formula changed?  IS THIS CORRECT?"," ")</f>
        <v xml:space="preserve"> </v>
      </c>
      <c r="D98" s="52"/>
      <c r="E98" s="52"/>
      <c r="F98" s="52"/>
      <c r="G98" s="52"/>
      <c r="H98" s="52"/>
      <c r="I98" s="52"/>
      <c r="J98" s="106"/>
    </row>
    <row r="99" spans="1:10" ht="12" thickBot="1">
      <c r="A99" s="1155"/>
      <c r="B99" s="258"/>
      <c r="C99" s="258"/>
      <c r="D99" s="258"/>
      <c r="E99" s="258"/>
      <c r="F99" s="258"/>
      <c r="G99" s="258"/>
      <c r="H99" s="258"/>
      <c r="I99" s="258"/>
      <c r="J99" s="259"/>
    </row>
    <row r="100" spans="1:10">
      <c r="A100" s="252"/>
      <c r="B100" s="252"/>
      <c r="C100" s="252"/>
      <c r="D100" s="252"/>
      <c r="E100" s="252"/>
      <c r="F100" s="252"/>
      <c r="G100" s="252"/>
      <c r="H100" s="252"/>
      <c r="I100" s="252"/>
      <c r="J100" s="252"/>
    </row>
    <row r="101" spans="1:10" ht="16.5" thickBot="1">
      <c r="A101" s="498" t="str">
        <f>'2. Dev. Team'!A1</f>
        <v>One Stop2000 Affordable Housing Finance Application [Version 1.21] ©</v>
      </c>
      <c r="B101" s="252"/>
      <c r="C101" s="252"/>
      <c r="D101" s="252"/>
      <c r="E101" s="252"/>
      <c r="F101" s="252"/>
      <c r="G101" s="252"/>
      <c r="H101" s="139"/>
      <c r="I101" s="139"/>
      <c r="J101" s="1139" t="s">
        <v>524</v>
      </c>
    </row>
    <row r="102" spans="1:10" ht="18.75" thickBot="1">
      <c r="A102" s="1153" t="s">
        <v>523</v>
      </c>
      <c r="B102" s="1141"/>
      <c r="C102" s="1141"/>
      <c r="D102" s="1141"/>
      <c r="E102" s="1141"/>
      <c r="F102" s="1141"/>
      <c r="G102" s="1141"/>
      <c r="H102" s="1141"/>
      <c r="I102" s="1141"/>
      <c r="J102" s="1142"/>
    </row>
    <row r="103" spans="1:10" s="1146" customFormat="1" ht="18" thickTop="1" thickBot="1">
      <c r="A103" s="1143" t="s">
        <v>459</v>
      </c>
      <c r="B103" s="1144"/>
      <c r="C103" s="1144"/>
      <c r="D103" s="1144"/>
      <c r="E103" s="1144"/>
      <c r="F103" s="1144"/>
      <c r="G103" s="1144"/>
      <c r="H103" s="1144"/>
      <c r="I103" s="1144"/>
      <c r="J103" s="1145"/>
    </row>
    <row r="104" spans="1:10" ht="12" thickTop="1">
      <c r="A104" s="1147"/>
      <c r="B104" s="1148"/>
      <c r="C104" s="1148"/>
      <c r="D104" s="1148"/>
      <c r="E104" s="1148"/>
      <c r="F104" s="1148"/>
      <c r="G104" s="1148"/>
      <c r="H104" s="1148"/>
      <c r="I104" s="1148"/>
      <c r="J104" s="1149"/>
    </row>
    <row r="105" spans="1:10" ht="15.75">
      <c r="A105" s="1150" t="s">
        <v>517</v>
      </c>
      <c r="B105" s="252"/>
      <c r="C105" s="138"/>
      <c r="D105" s="138"/>
      <c r="E105" s="138"/>
      <c r="F105" s="138"/>
      <c r="G105" s="138"/>
      <c r="H105" s="138"/>
      <c r="I105" s="138"/>
      <c r="J105" s="253"/>
    </row>
    <row r="106" spans="1:10">
      <c r="A106" s="1151"/>
      <c r="B106" s="252"/>
      <c r="C106" s="252"/>
      <c r="D106" s="252"/>
      <c r="E106" s="252"/>
      <c r="F106" s="252"/>
      <c r="G106" s="252"/>
      <c r="H106" s="252"/>
      <c r="I106" s="252"/>
      <c r="J106" s="253"/>
    </row>
    <row r="107" spans="1:10" ht="15.75">
      <c r="A107" s="1151"/>
      <c r="B107" s="252"/>
      <c r="C107" s="144" t="s">
        <v>518</v>
      </c>
      <c r="D107" s="252"/>
      <c r="E107" s="252"/>
      <c r="F107" s="252"/>
      <c r="G107" s="252"/>
      <c r="H107" s="252"/>
      <c r="I107" s="252"/>
      <c r="J107" s="253"/>
    </row>
    <row r="108" spans="1:10">
      <c r="A108" s="1151"/>
      <c r="B108" s="252"/>
      <c r="C108" s="252"/>
      <c r="D108" s="252"/>
      <c r="E108" s="252"/>
      <c r="F108" s="252"/>
      <c r="G108" s="252"/>
      <c r="H108" s="252"/>
      <c r="I108" s="252"/>
      <c r="J108" s="253"/>
    </row>
    <row r="109" spans="1:10" ht="12.75">
      <c r="A109" s="161">
        <f>'4. Operating'!A184</f>
        <v>293</v>
      </c>
      <c r="B109" s="52"/>
      <c r="C109" s="52" t="str">
        <f>IF(SUM('4. Operating'!F184:I184)&lt;0.2,"The trending assumptions for water &amp; sewer costs appear low.  IS THIS CORRECT?"," ")</f>
        <v>The trending assumptions for water &amp; sewer costs appear low.  IS THIS CORRECT?</v>
      </c>
      <c r="D109" s="52"/>
      <c r="E109" s="52"/>
      <c r="F109" s="52"/>
      <c r="G109" s="52"/>
      <c r="H109" s="52"/>
      <c r="I109" s="52"/>
      <c r="J109" s="106"/>
    </row>
    <row r="110" spans="1:10" ht="12.75">
      <c r="A110" s="161">
        <f>'4. Operating'!A185</f>
        <v>294</v>
      </c>
      <c r="B110" s="52"/>
      <c r="C110" s="52" t="str">
        <f>IF(SUM('4. Operating'!F185:I185)&lt;0.1,"The trending assumptions for real estate taxes appear low.  IS THIS CORRECT?"," ")</f>
        <v>The trending assumptions for real estate taxes appear low.  IS THIS CORRECT?</v>
      </c>
      <c r="D110" s="52"/>
      <c r="E110" s="52"/>
      <c r="F110" s="52"/>
      <c r="G110" s="52"/>
      <c r="H110" s="52"/>
      <c r="I110" s="52"/>
      <c r="J110" s="106"/>
    </row>
    <row r="111" spans="1:10" ht="12.75">
      <c r="A111" s="161">
        <f>IF(SUM('4. Operating'!F186:I186)&lt;0.16,'4. Operating'!A186," ")</f>
        <v>295</v>
      </c>
      <c r="B111" s="52"/>
      <c r="C111" s="52" t="str">
        <f>IF(A111&gt;0,"The trending assumptions for all other costs appear low.  IS THIS CORRECT?"," ")</f>
        <v>The trending assumptions for all other costs appear low.  IS THIS CORRECT?</v>
      </c>
      <c r="D111" s="52"/>
      <c r="E111" s="52"/>
      <c r="F111" s="52"/>
      <c r="G111" s="52"/>
      <c r="H111" s="52"/>
      <c r="I111" s="52"/>
      <c r="J111" s="106"/>
    </row>
    <row r="112" spans="1:10" ht="12.75">
      <c r="A112" s="161">
        <f>'5. Tax Credits'!A16</f>
        <v>338</v>
      </c>
      <c r="B112" s="52"/>
      <c r="C112" s="52" t="str">
        <f>IF(OR('5. Tax Credits'!G43=0.04,'5. Tax Credits'!G43=0),"The acquisition credit figure appears incorrect.    IS THIS CORRECT?"," ")</f>
        <v xml:space="preserve"> </v>
      </c>
      <c r="D112" s="52"/>
      <c r="E112" s="52"/>
      <c r="F112" s="52"/>
      <c r="G112" s="52"/>
      <c r="H112" s="52"/>
      <c r="I112" s="52"/>
      <c r="J112" s="106"/>
    </row>
    <row r="113" spans="1:10" ht="12.75">
      <c r="A113" s="161">
        <f>IF(OR(OR('5. Tax Credits'!H17=0.04,'5. Tax Credits'!H17=0.9),'5. Tax Credits'!H17=" ")," ",'5. Tax Credits'!A17)</f>
        <v>339</v>
      </c>
      <c r="B113" s="52"/>
      <c r="C113" s="52" t="str">
        <f>IF(OR(OR('5. Tax Credits'!I43=0.04,'5. Tax Credits'!I43=0.9),'5. Tax Credits'!I43=" "),"'The rehabilitation credit figure appears incorrect.   IS THIS CORRECT?"," ")</f>
        <v xml:space="preserve"> </v>
      </c>
      <c r="D113" s="52"/>
      <c r="E113" s="52"/>
      <c r="F113" s="52"/>
      <c r="G113" s="52"/>
      <c r="H113" s="52"/>
      <c r="I113" s="52"/>
      <c r="J113" s="106"/>
    </row>
    <row r="114" spans="1:10" ht="12.75">
      <c r="A114" s="161">
        <f>'5. Tax Credits'!A43</f>
        <v>354</v>
      </c>
      <c r="B114" s="52"/>
      <c r="C114" s="52" t="str">
        <f>IF(AND(rehab_credit="No",G43&lt;&gt;I43),"If the application does not qualify for a 9% credit, acquisition credit should be equal to the rehabilitation credit","")</f>
        <v/>
      </c>
      <c r="D114" s="52"/>
      <c r="E114" s="52"/>
      <c r="F114" s="52"/>
      <c r="G114" s="52"/>
      <c r="H114" s="52"/>
      <c r="I114" s="52"/>
      <c r="J114" s="106"/>
    </row>
    <row r="115" spans="1:10" ht="12.75">
      <c r="A115" s="161">
        <f>'5. Tax Credits'!A50</f>
        <v>360</v>
      </c>
      <c r="B115" s="52"/>
      <c r="C115" s="52" t="str">
        <f>IF('5. Tax Credits'!H48=0," ",IF(ABS(('5. Tax Credits'!H50-'5. Tax Credits'!H48)/'5. Tax Credits'!H48)&gt;0.05,"Your estimate of net tax credit yield is significantly different than that produced by this program.  ATTACH EXPLANATION."))</f>
        <v xml:space="preserve"> </v>
      </c>
      <c r="D115" s="52"/>
      <c r="E115" s="52"/>
      <c r="F115" s="52"/>
      <c r="G115" s="52"/>
      <c r="H115" s="52"/>
      <c r="I115" s="52"/>
      <c r="J115" s="106"/>
    </row>
    <row r="116" spans="1:10" ht="12.75">
      <c r="A116" s="161"/>
      <c r="B116" s="52"/>
      <c r="C116" s="52"/>
      <c r="D116" s="52"/>
      <c r="E116" s="52"/>
      <c r="F116" s="52"/>
      <c r="G116" s="52"/>
      <c r="H116" s="52"/>
      <c r="I116" s="52"/>
      <c r="J116" s="106"/>
    </row>
    <row r="117" spans="1:10" ht="12.75">
      <c r="A117" s="161"/>
      <c r="B117" s="52"/>
      <c r="C117" s="52"/>
      <c r="D117" s="52"/>
      <c r="E117" s="52"/>
      <c r="F117" s="52"/>
      <c r="G117" s="52"/>
      <c r="H117" s="52"/>
      <c r="I117" s="52"/>
      <c r="J117" s="106"/>
    </row>
    <row r="118" spans="1:10" ht="12.75">
      <c r="A118" s="161"/>
      <c r="B118" s="52"/>
      <c r="C118" s="52"/>
      <c r="D118" s="52"/>
      <c r="E118" s="52"/>
      <c r="F118" s="52"/>
      <c r="G118" s="52"/>
      <c r="H118" s="52"/>
      <c r="I118" s="52"/>
      <c r="J118" s="106"/>
    </row>
    <row r="119" spans="1:10" ht="12.75">
      <c r="A119" s="161"/>
      <c r="B119" s="52"/>
      <c r="C119" s="52"/>
      <c r="D119" s="52"/>
      <c r="E119" s="52"/>
      <c r="F119" s="52"/>
      <c r="G119" s="52"/>
      <c r="H119" s="52"/>
      <c r="I119" s="52"/>
      <c r="J119" s="106"/>
    </row>
    <row r="120" spans="1:10">
      <c r="A120" s="1151"/>
      <c r="B120" s="252"/>
      <c r="C120" s="252"/>
      <c r="D120" s="252"/>
      <c r="E120" s="252"/>
      <c r="F120" s="252"/>
      <c r="G120" s="252"/>
      <c r="H120" s="252"/>
      <c r="I120" s="252"/>
      <c r="J120" s="253"/>
    </row>
    <row r="121" spans="1:10">
      <c r="A121" s="1151"/>
      <c r="B121" s="252"/>
      <c r="C121" s="252"/>
      <c r="D121" s="252"/>
      <c r="E121" s="252"/>
      <c r="F121" s="252"/>
      <c r="G121" s="252"/>
      <c r="H121" s="252"/>
      <c r="I121" s="252"/>
      <c r="J121" s="253"/>
    </row>
    <row r="122" spans="1:10">
      <c r="A122" s="1151"/>
      <c r="B122" s="252"/>
      <c r="C122" s="252"/>
      <c r="D122" s="252"/>
      <c r="E122" s="252"/>
      <c r="F122" s="252"/>
      <c r="G122" s="252"/>
      <c r="H122" s="252"/>
      <c r="I122" s="252"/>
      <c r="J122" s="253"/>
    </row>
    <row r="123" spans="1:10">
      <c r="A123" s="1151"/>
      <c r="B123" s="252"/>
      <c r="C123" s="252"/>
      <c r="D123" s="252"/>
      <c r="E123" s="252"/>
      <c r="F123" s="252"/>
      <c r="G123" s="252"/>
      <c r="H123" s="252"/>
      <c r="I123" s="252"/>
      <c r="J123" s="253"/>
    </row>
    <row r="124" spans="1:10">
      <c r="A124" s="1151"/>
      <c r="B124" s="252"/>
      <c r="C124" s="252"/>
      <c r="D124" s="252"/>
      <c r="E124" s="252"/>
      <c r="F124" s="252"/>
      <c r="G124" s="252"/>
      <c r="H124" s="252"/>
      <c r="I124" s="252"/>
      <c r="J124" s="253"/>
    </row>
    <row r="125" spans="1:10">
      <c r="A125" s="1151"/>
      <c r="B125" s="252"/>
      <c r="C125" s="252"/>
      <c r="D125" s="252"/>
      <c r="E125" s="252"/>
      <c r="F125" s="252"/>
      <c r="G125" s="252"/>
      <c r="H125" s="252"/>
      <c r="I125" s="252"/>
      <c r="J125" s="253"/>
    </row>
    <row r="126" spans="1:10">
      <c r="A126" s="1151"/>
      <c r="B126" s="252"/>
      <c r="C126" s="252"/>
      <c r="D126" s="252"/>
      <c r="E126" s="252"/>
      <c r="F126" s="252"/>
      <c r="G126" s="252"/>
      <c r="H126" s="252"/>
      <c r="I126" s="252"/>
      <c r="J126" s="253"/>
    </row>
    <row r="127" spans="1:10">
      <c r="A127" s="1151"/>
      <c r="B127" s="252"/>
      <c r="C127" s="252"/>
      <c r="D127" s="252"/>
      <c r="E127" s="252"/>
      <c r="F127" s="252"/>
      <c r="G127" s="252"/>
      <c r="H127" s="252"/>
      <c r="I127" s="252"/>
      <c r="J127" s="253"/>
    </row>
    <row r="128" spans="1:10">
      <c r="A128" s="1151"/>
      <c r="B128" s="252"/>
      <c r="C128" s="252"/>
      <c r="D128" s="252"/>
      <c r="E128" s="252"/>
      <c r="F128" s="252"/>
      <c r="G128" s="252"/>
      <c r="H128" s="252"/>
      <c r="I128" s="252"/>
      <c r="J128" s="253"/>
    </row>
    <row r="129" spans="1:10">
      <c r="A129" s="1151"/>
      <c r="B129" s="252"/>
      <c r="C129" s="252"/>
      <c r="D129" s="252"/>
      <c r="E129" s="252"/>
      <c r="F129" s="252"/>
      <c r="G129" s="252"/>
      <c r="H129" s="252"/>
      <c r="I129" s="252"/>
      <c r="J129" s="253"/>
    </row>
    <row r="130" spans="1:10">
      <c r="A130" s="1151"/>
      <c r="B130" s="252"/>
      <c r="C130" s="252"/>
      <c r="D130" s="252"/>
      <c r="E130" s="252"/>
      <c r="F130" s="252"/>
      <c r="G130" s="252"/>
      <c r="H130" s="252"/>
      <c r="I130" s="252"/>
      <c r="J130" s="253"/>
    </row>
    <row r="131" spans="1:10">
      <c r="A131" s="1151"/>
      <c r="B131" s="252"/>
      <c r="C131" s="252"/>
      <c r="D131" s="252"/>
      <c r="E131" s="252"/>
      <c r="F131" s="252"/>
      <c r="G131" s="252"/>
      <c r="H131" s="252"/>
      <c r="I131" s="252"/>
      <c r="J131" s="253"/>
    </row>
    <row r="132" spans="1:10">
      <c r="A132" s="1151"/>
      <c r="B132" s="252"/>
      <c r="C132" s="252"/>
      <c r="D132" s="252"/>
      <c r="E132" s="252"/>
      <c r="F132" s="252"/>
      <c r="G132" s="252"/>
      <c r="H132" s="252"/>
      <c r="I132" s="252"/>
      <c r="J132" s="253"/>
    </row>
    <row r="133" spans="1:10">
      <c r="A133" s="1151"/>
      <c r="B133" s="252"/>
      <c r="C133" s="252"/>
      <c r="D133" s="252"/>
      <c r="E133" s="252"/>
      <c r="F133" s="252"/>
      <c r="G133" s="252"/>
      <c r="H133" s="252"/>
      <c r="I133" s="252"/>
      <c r="J133" s="253"/>
    </row>
    <row r="134" spans="1:10">
      <c r="A134" s="1151"/>
      <c r="B134" s="252"/>
      <c r="C134" s="252"/>
      <c r="D134" s="252"/>
      <c r="E134" s="252"/>
      <c r="F134" s="252"/>
      <c r="G134" s="252"/>
      <c r="H134" s="252"/>
      <c r="I134" s="252"/>
      <c r="J134" s="253"/>
    </row>
    <row r="135" spans="1:10">
      <c r="A135" s="1151"/>
      <c r="B135" s="252"/>
      <c r="C135" s="252"/>
      <c r="D135" s="252"/>
      <c r="E135" s="252"/>
      <c r="F135" s="252"/>
      <c r="G135" s="252"/>
      <c r="H135" s="252"/>
      <c r="I135" s="252"/>
      <c r="J135" s="253"/>
    </row>
    <row r="136" spans="1:10">
      <c r="A136" s="1151"/>
      <c r="B136" s="252"/>
      <c r="C136" s="252"/>
      <c r="D136" s="252"/>
      <c r="E136" s="252"/>
      <c r="F136" s="252"/>
      <c r="G136" s="252"/>
      <c r="H136" s="252"/>
      <c r="I136" s="252"/>
      <c r="J136" s="253"/>
    </row>
    <row r="137" spans="1:10">
      <c r="A137" s="1151"/>
      <c r="B137" s="252"/>
      <c r="C137" s="252"/>
      <c r="D137" s="252"/>
      <c r="E137" s="252"/>
      <c r="F137" s="252"/>
      <c r="G137" s="252"/>
      <c r="H137" s="252"/>
      <c r="I137" s="252"/>
      <c r="J137" s="253"/>
    </row>
    <row r="138" spans="1:10">
      <c r="A138" s="1151"/>
      <c r="B138" s="252"/>
      <c r="C138" s="252"/>
      <c r="D138" s="252"/>
      <c r="E138" s="252"/>
      <c r="F138" s="252"/>
      <c r="G138" s="252"/>
      <c r="H138" s="252"/>
      <c r="I138" s="252"/>
      <c r="J138" s="253"/>
    </row>
    <row r="139" spans="1:10">
      <c r="A139" s="1151"/>
      <c r="B139" s="252"/>
      <c r="C139" s="252"/>
      <c r="D139" s="252"/>
      <c r="E139" s="252"/>
      <c r="F139" s="252"/>
      <c r="G139" s="252"/>
      <c r="H139" s="252"/>
      <c r="I139" s="252"/>
      <c r="J139" s="253"/>
    </row>
    <row r="140" spans="1:10">
      <c r="A140" s="1151"/>
      <c r="B140" s="252"/>
      <c r="C140" s="252"/>
      <c r="D140" s="252"/>
      <c r="E140" s="252"/>
      <c r="F140" s="252"/>
      <c r="G140" s="252"/>
      <c r="H140" s="252"/>
      <c r="I140" s="252"/>
      <c r="J140" s="253"/>
    </row>
    <row r="141" spans="1:10">
      <c r="A141" s="1151"/>
      <c r="B141" s="252"/>
      <c r="C141" s="252"/>
      <c r="D141" s="252"/>
      <c r="E141" s="252"/>
      <c r="F141" s="252"/>
      <c r="G141" s="252"/>
      <c r="H141" s="252"/>
      <c r="I141" s="252"/>
      <c r="J141" s="253"/>
    </row>
    <row r="142" spans="1:10">
      <c r="A142" s="1151"/>
      <c r="B142" s="252"/>
      <c r="C142" s="252"/>
      <c r="D142" s="252"/>
      <c r="E142" s="252"/>
      <c r="F142" s="252"/>
      <c r="G142" s="252"/>
      <c r="H142" s="252"/>
      <c r="I142" s="252"/>
      <c r="J142" s="253"/>
    </row>
    <row r="143" spans="1:10">
      <c r="A143" s="1151"/>
      <c r="B143" s="252"/>
      <c r="C143" s="252"/>
      <c r="D143" s="252"/>
      <c r="E143" s="252"/>
      <c r="F143" s="252"/>
      <c r="G143" s="252"/>
      <c r="H143" s="252"/>
      <c r="I143" s="252"/>
      <c r="J143" s="253"/>
    </row>
    <row r="144" spans="1:10">
      <c r="A144" s="1151"/>
      <c r="B144" s="252"/>
      <c r="C144" s="252"/>
      <c r="D144" s="252"/>
      <c r="E144" s="252"/>
      <c r="F144" s="252"/>
      <c r="G144" s="252"/>
      <c r="H144" s="252"/>
      <c r="I144" s="252"/>
      <c r="J144" s="253"/>
    </row>
    <row r="145" spans="1:10">
      <c r="A145" s="1151"/>
      <c r="B145" s="252"/>
      <c r="C145" s="252"/>
      <c r="D145" s="252"/>
      <c r="E145" s="252"/>
      <c r="F145" s="252"/>
      <c r="G145" s="252"/>
      <c r="H145" s="252"/>
      <c r="I145" s="252"/>
      <c r="J145" s="253"/>
    </row>
    <row r="146" spans="1:10">
      <c r="A146" s="1151"/>
      <c r="B146" s="252"/>
      <c r="C146" s="252"/>
      <c r="D146" s="252"/>
      <c r="E146" s="252"/>
      <c r="F146" s="252"/>
      <c r="G146" s="252"/>
      <c r="H146" s="252"/>
      <c r="I146" s="252"/>
      <c r="J146" s="253"/>
    </row>
    <row r="147" spans="1:10">
      <c r="A147" s="1151"/>
      <c r="B147" s="252"/>
      <c r="C147" s="252"/>
      <c r="D147" s="252"/>
      <c r="E147" s="252"/>
      <c r="F147" s="252"/>
      <c r="G147" s="252"/>
      <c r="H147" s="252"/>
      <c r="I147" s="252"/>
      <c r="J147" s="253"/>
    </row>
    <row r="148" spans="1:10">
      <c r="A148" s="1151"/>
      <c r="B148" s="252"/>
      <c r="C148" s="252"/>
      <c r="D148" s="252"/>
      <c r="E148" s="252"/>
      <c r="F148" s="252"/>
      <c r="G148" s="252"/>
      <c r="H148" s="252"/>
      <c r="I148" s="252"/>
      <c r="J148" s="253"/>
    </row>
    <row r="149" spans="1:10">
      <c r="A149" s="1151"/>
      <c r="B149" s="252"/>
      <c r="C149" s="252"/>
      <c r="D149" s="252"/>
      <c r="E149" s="252"/>
      <c r="F149" s="252"/>
      <c r="G149" s="252"/>
      <c r="H149" s="252"/>
      <c r="I149" s="252"/>
      <c r="J149" s="253"/>
    </row>
    <row r="150" spans="1:10">
      <c r="A150" s="1151"/>
      <c r="B150" s="252"/>
      <c r="C150" s="252"/>
      <c r="D150" s="252"/>
      <c r="E150" s="252"/>
      <c r="F150" s="252"/>
      <c r="G150" s="252"/>
      <c r="H150" s="252"/>
      <c r="I150" s="252"/>
      <c r="J150" s="253"/>
    </row>
    <row r="151" spans="1:10">
      <c r="A151" s="1151"/>
      <c r="B151" s="252"/>
      <c r="C151" s="252"/>
      <c r="D151" s="252"/>
      <c r="E151" s="252"/>
      <c r="F151" s="252"/>
      <c r="G151" s="252"/>
      <c r="H151" s="252"/>
      <c r="I151" s="252"/>
      <c r="J151" s="253"/>
    </row>
    <row r="152" spans="1:10" ht="12" thickBot="1">
      <c r="A152" s="1155"/>
      <c r="B152" s="258"/>
      <c r="C152" s="258"/>
      <c r="D152" s="258"/>
      <c r="E152" s="258"/>
      <c r="F152" s="258"/>
      <c r="G152" s="258"/>
      <c r="H152" s="258"/>
      <c r="I152" s="258"/>
      <c r="J152" s="259"/>
    </row>
    <row r="153" spans="1:10">
      <c r="A153" s="567"/>
      <c r="B153" s="567"/>
      <c r="C153" s="567"/>
      <c r="D153" s="567"/>
      <c r="E153" s="567"/>
      <c r="F153" s="567"/>
      <c r="G153" s="567"/>
      <c r="H153" s="567"/>
      <c r="I153" s="567"/>
      <c r="J153" s="567"/>
    </row>
  </sheetData>
  <sheetProtection password="D405" sheet="1" objects="1" scenarios="1"/>
  <phoneticPr fontId="140" type="noConversion"/>
  <printOptions horizontalCentered="1" gridLinesSet="0"/>
  <pageMargins left="7.0000000000000007E-2" right="7.0000000000000007E-2" top="7.0000000000000007E-2" bottom="7.0000000000000007E-2" header="7.0000000000000007E-2" footer="7.0000000000000007E-2"/>
  <pageSetup orientation="portrait" blackAndWhite="1" horizontalDpi="300" verticalDpi="300" r:id="rId1"/>
  <headerFooter alignWithMargins="0"/>
  <rowBreaks count="2" manualBreakCount="2">
    <brk id="39" max="9" man="1"/>
    <brk id="10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ransitionEntry="1" codeName="Sheet11"/>
  <dimension ref="A1:H402"/>
  <sheetViews>
    <sheetView showGridLines="0" zoomScaleNormal="100" workbookViewId="0"/>
  </sheetViews>
  <sheetFormatPr defaultColWidth="9.6640625" defaultRowHeight="11.25"/>
  <cols>
    <col min="1" max="1" width="33.33203125" style="103" customWidth="1"/>
    <col min="2" max="7" width="16.83203125" style="103" customWidth="1"/>
    <col min="8" max="8" width="24.6640625" style="103" customWidth="1"/>
    <col min="9" max="16384" width="9.6640625" style="103"/>
  </cols>
  <sheetData>
    <row r="1" spans="1:7" s="85" customFormat="1" ht="12">
      <c r="A1" s="63" t="str">
        <f>'1. Description'!A1</f>
        <v>One Stop2000 Affordable Housing Finance Application [Version 1.21] ©</v>
      </c>
      <c r="B1" s="678"/>
      <c r="C1" s="678"/>
      <c r="D1" s="678"/>
      <c r="E1" s="678"/>
      <c r="F1" s="678"/>
      <c r="G1" s="678"/>
    </row>
    <row r="2" spans="1:7" s="78" customFormat="1" ht="15.75">
      <c r="A2" s="679" t="s">
        <v>534</v>
      </c>
      <c r="B2" s="679"/>
      <c r="C2" s="679"/>
      <c r="D2" s="679"/>
      <c r="E2" s="679"/>
      <c r="F2" s="679"/>
      <c r="G2" s="679"/>
    </row>
    <row r="3" spans="1:7" s="78" customFormat="1" ht="15.75">
      <c r="A3" s="680" t="s">
        <v>535</v>
      </c>
      <c r="B3" s="679"/>
      <c r="C3" s="679"/>
      <c r="D3" s="679"/>
      <c r="E3" s="679"/>
      <c r="F3" s="679"/>
      <c r="G3" s="679"/>
    </row>
    <row r="4" spans="1:7" s="85" customFormat="1" ht="12" thickBot="1">
      <c r="A4" s="681"/>
      <c r="B4" s="681"/>
      <c r="C4" s="681"/>
      <c r="D4" s="681"/>
      <c r="E4" s="681"/>
      <c r="F4" s="681"/>
      <c r="G4" s="681"/>
    </row>
    <row r="5" spans="1:7" s="85" customFormat="1">
      <c r="A5" s="682"/>
      <c r="B5" s="683"/>
      <c r="C5" s="683"/>
      <c r="D5" s="683"/>
      <c r="E5" s="683"/>
      <c r="F5" s="683"/>
      <c r="G5" s="684"/>
    </row>
    <row r="6" spans="1:7" s="85" customFormat="1">
      <c r="A6" s="685" t="s">
        <v>536</v>
      </c>
      <c r="B6" s="119"/>
      <c r="C6" s="119"/>
      <c r="D6" s="119"/>
      <c r="E6" s="119"/>
      <c r="F6" s="119"/>
      <c r="G6" s="686"/>
    </row>
    <row r="7" spans="1:7" s="85" customFormat="1">
      <c r="A7" s="685" t="s">
        <v>537</v>
      </c>
      <c r="B7" s="119"/>
      <c r="C7" s="119"/>
      <c r="D7" s="119"/>
      <c r="E7" s="119"/>
      <c r="F7" s="119"/>
      <c r="G7" s="686"/>
    </row>
    <row r="8" spans="1:7" s="85" customFormat="1">
      <c r="A8" s="685"/>
      <c r="B8" s="119"/>
      <c r="C8" s="119"/>
      <c r="D8" s="119"/>
      <c r="E8" s="119"/>
      <c r="F8" s="119"/>
      <c r="G8" s="686"/>
    </row>
    <row r="9" spans="1:7" s="101" customFormat="1" ht="12.75">
      <c r="A9" s="687" t="s">
        <v>538</v>
      </c>
      <c r="B9" s="210" t="s">
        <v>657</v>
      </c>
      <c r="C9" s="210" t="s">
        <v>539</v>
      </c>
      <c r="D9" s="210" t="s">
        <v>540</v>
      </c>
      <c r="E9" s="210" t="s">
        <v>541</v>
      </c>
      <c r="F9" s="210" t="s">
        <v>542</v>
      </c>
      <c r="G9" s="790" t="s">
        <v>543</v>
      </c>
    </row>
    <row r="10" spans="1:7" s="101" customFormat="1" ht="15" customHeight="1">
      <c r="A10" s="116" t="s">
        <v>545</v>
      </c>
      <c r="B10" s="560">
        <f>'3. Sources Uses'!F46</f>
        <v>0</v>
      </c>
      <c r="C10" s="24" t="s">
        <v>791</v>
      </c>
      <c r="D10" s="24" t="s">
        <v>546</v>
      </c>
      <c r="E10" s="24" t="s">
        <v>546</v>
      </c>
      <c r="F10" s="24" t="s">
        <v>546</v>
      </c>
      <c r="G10" s="27" t="s">
        <v>546</v>
      </c>
    </row>
    <row r="11" spans="1:7" s="101" customFormat="1" ht="12.75">
      <c r="A11" s="116" t="s">
        <v>547</v>
      </c>
      <c r="B11" s="560">
        <f>'3. Sources Uses'!I220</f>
        <v>0</v>
      </c>
      <c r="C11" s="24" t="s">
        <v>546</v>
      </c>
      <c r="D11" s="24" t="s">
        <v>546</v>
      </c>
      <c r="E11" s="24" t="s">
        <v>546</v>
      </c>
      <c r="F11" s="24" t="s">
        <v>546</v>
      </c>
      <c r="G11" s="27" t="s">
        <v>546</v>
      </c>
    </row>
    <row r="12" spans="1:7" s="101" customFormat="1" ht="12.75">
      <c r="A12" s="116" t="s">
        <v>548</v>
      </c>
      <c r="B12" s="560">
        <f>'3. Sources Uses'!G8+'3. Sources Uses'!F17+'3. Sources Uses'!G11</f>
        <v>0</v>
      </c>
      <c r="C12" s="24" t="s">
        <v>546</v>
      </c>
      <c r="D12" s="24" t="s">
        <v>546</v>
      </c>
      <c r="E12" s="24" t="s">
        <v>546</v>
      </c>
      <c r="F12" s="24" t="s">
        <v>546</v>
      </c>
      <c r="G12" s="27" t="s">
        <v>546</v>
      </c>
    </row>
    <row r="13" spans="1:7" s="101" customFormat="1" ht="12.75">
      <c r="A13" s="116" t="s">
        <v>549</v>
      </c>
      <c r="B13" s="560">
        <f>'3. Sources Uses'!G9+0.00000000001</f>
        <v>9.9999999999999994E-12</v>
      </c>
      <c r="C13" s="24" t="s">
        <v>546</v>
      </c>
      <c r="D13" s="24" t="s">
        <v>546</v>
      </c>
      <c r="E13" s="24" t="s">
        <v>546</v>
      </c>
      <c r="F13" s="24" t="s">
        <v>546</v>
      </c>
      <c r="G13" s="27" t="s">
        <v>546</v>
      </c>
    </row>
    <row r="14" spans="1:7" s="101" customFormat="1" ht="12.75">
      <c r="A14" s="116" t="s">
        <v>550</v>
      </c>
      <c r="B14" s="560">
        <f>'3. Sources Uses'!F30</f>
        <v>0</v>
      </c>
      <c r="C14" s="24" t="s">
        <v>546</v>
      </c>
      <c r="D14" s="24" t="s">
        <v>546</v>
      </c>
      <c r="E14" s="24" t="s">
        <v>546</v>
      </c>
      <c r="F14" s="24" t="s">
        <v>546</v>
      </c>
      <c r="G14" s="27" t="s">
        <v>546</v>
      </c>
    </row>
    <row r="15" spans="1:7" s="101" customFormat="1" ht="12.75">
      <c r="A15" s="116" t="s">
        <v>551</v>
      </c>
      <c r="B15" s="560">
        <f>'3. Sources Uses'!F41</f>
        <v>0</v>
      </c>
      <c r="C15" s="24" t="s">
        <v>546</v>
      </c>
      <c r="D15" s="24" t="s">
        <v>546</v>
      </c>
      <c r="E15" s="24" t="s">
        <v>546</v>
      </c>
      <c r="F15" s="24" t="s">
        <v>546</v>
      </c>
      <c r="G15" s="27" t="s">
        <v>546</v>
      </c>
    </row>
    <row r="16" spans="1:7" s="101" customFormat="1" ht="12.75">
      <c r="A16" s="116" t="s">
        <v>555</v>
      </c>
      <c r="B16" s="560">
        <f>'3. Sources Uses'!F52+0.00000000001</f>
        <v>9.9999999999999994E-12</v>
      </c>
      <c r="C16" s="24" t="s">
        <v>546</v>
      </c>
      <c r="D16" s="24" t="s">
        <v>546</v>
      </c>
      <c r="E16" s="24" t="s">
        <v>546</v>
      </c>
      <c r="F16" s="24" t="s">
        <v>546</v>
      </c>
      <c r="G16" s="27" t="s">
        <v>546</v>
      </c>
    </row>
    <row r="17" spans="1:7" s="101" customFormat="1" ht="13.5" thickBot="1">
      <c r="A17" s="116" t="s">
        <v>556</v>
      </c>
      <c r="B17" s="560">
        <f>'3. Sources Uses'!F49+0.00000000001</f>
        <v>9.9999999999999994E-12</v>
      </c>
      <c r="C17" s="24" t="s">
        <v>546</v>
      </c>
      <c r="D17" s="24" t="s">
        <v>546</v>
      </c>
      <c r="E17" s="24" t="s">
        <v>546</v>
      </c>
      <c r="F17" s="24" t="s">
        <v>546</v>
      </c>
      <c r="G17" s="27" t="s">
        <v>546</v>
      </c>
    </row>
    <row r="18" spans="1:7" s="101" customFormat="1" ht="14.25" thickTop="1" thickBot="1">
      <c r="A18" s="687" t="s">
        <v>557</v>
      </c>
      <c r="B18" s="688">
        <f t="shared" ref="B18:G18" si="0">SUM(B10:B17)</f>
        <v>3E-11</v>
      </c>
      <c r="C18" s="688">
        <f t="shared" si="0"/>
        <v>0</v>
      </c>
      <c r="D18" s="688">
        <f t="shared" si="0"/>
        <v>0</v>
      </c>
      <c r="E18" s="688">
        <f t="shared" si="0"/>
        <v>0</v>
      </c>
      <c r="F18" s="688">
        <f t="shared" si="0"/>
        <v>0</v>
      </c>
      <c r="G18" s="689">
        <f t="shared" si="0"/>
        <v>0</v>
      </c>
    </row>
    <row r="19" spans="1:7" s="101" customFormat="1" ht="13.5" thickTop="1">
      <c r="A19" s="116" t="s">
        <v>558</v>
      </c>
      <c r="B19" s="28">
        <f>B10</f>
        <v>0</v>
      </c>
      <c r="C19" s="24" t="s">
        <v>546</v>
      </c>
      <c r="D19" s="24" t="s">
        <v>546</v>
      </c>
      <c r="E19" s="24" t="s">
        <v>546</v>
      </c>
      <c r="F19" s="24" t="s">
        <v>546</v>
      </c>
      <c r="G19" s="27" t="s">
        <v>546</v>
      </c>
    </row>
    <row r="20" spans="1:7" s="101" customFormat="1" ht="12.75">
      <c r="A20" s="116" t="s">
        <v>560</v>
      </c>
      <c r="B20" s="24" t="s">
        <v>99</v>
      </c>
      <c r="C20" s="24" t="s">
        <v>546</v>
      </c>
      <c r="D20" s="24" t="s">
        <v>546</v>
      </c>
      <c r="E20" s="24" t="s">
        <v>546</v>
      </c>
      <c r="F20" s="24" t="s">
        <v>546</v>
      </c>
      <c r="G20" s="27" t="s">
        <v>546</v>
      </c>
    </row>
    <row r="21" spans="1:7" s="101" customFormat="1" ht="13.5" thickBot="1">
      <c r="A21" s="116" t="s">
        <v>561</v>
      </c>
      <c r="B21" s="24" t="s">
        <v>99</v>
      </c>
      <c r="C21" s="24" t="s">
        <v>546</v>
      </c>
      <c r="D21" s="24" t="s">
        <v>546</v>
      </c>
      <c r="E21" s="24" t="s">
        <v>546</v>
      </c>
      <c r="F21" s="24" t="s">
        <v>546</v>
      </c>
      <c r="G21" s="27" t="s">
        <v>546</v>
      </c>
    </row>
    <row r="22" spans="1:7" s="84" customFormat="1" ht="15" thickTop="1">
      <c r="A22" s="690" t="s">
        <v>562</v>
      </c>
      <c r="B22" s="760">
        <f t="shared" ref="B22:G22" si="1">B18-SUM(B19:B21)</f>
        <v>3E-11</v>
      </c>
      <c r="C22" s="760">
        <f t="shared" si="1"/>
        <v>0</v>
      </c>
      <c r="D22" s="760">
        <f t="shared" si="1"/>
        <v>0</v>
      </c>
      <c r="E22" s="760">
        <f t="shared" si="1"/>
        <v>0</v>
      </c>
      <c r="F22" s="760">
        <f t="shared" si="1"/>
        <v>0</v>
      </c>
      <c r="G22" s="761">
        <f t="shared" si="1"/>
        <v>0</v>
      </c>
    </row>
    <row r="23" spans="1:7" s="84" customFormat="1" ht="14.25">
      <c r="A23" s="690" t="s">
        <v>563</v>
      </c>
      <c r="B23" s="404"/>
      <c r="C23" s="762">
        <f>C22</f>
        <v>0</v>
      </c>
      <c r="D23" s="762">
        <f>C23+D22</f>
        <v>0</v>
      </c>
      <c r="E23" s="762">
        <f>D23+E22</f>
        <v>0</v>
      </c>
      <c r="F23" s="762">
        <f>E23+F22</f>
        <v>0</v>
      </c>
      <c r="G23" s="763">
        <f>F23+G22</f>
        <v>0</v>
      </c>
    </row>
    <row r="24" spans="1:7" s="85" customFormat="1">
      <c r="A24" s="79"/>
      <c r="B24" s="80" t="s">
        <v>564</v>
      </c>
      <c r="C24" s="691"/>
      <c r="D24" s="691"/>
      <c r="E24" s="691"/>
      <c r="F24" s="691"/>
      <c r="G24" s="692"/>
    </row>
    <row r="25" spans="1:7" s="85" customFormat="1">
      <c r="A25" s="79"/>
      <c r="B25" s="691"/>
      <c r="C25" s="691"/>
      <c r="D25" s="691"/>
      <c r="E25" s="691"/>
      <c r="F25" s="691"/>
      <c r="G25" s="692"/>
    </row>
    <row r="26" spans="1:7" s="101" customFormat="1" ht="12.75">
      <c r="A26" s="687" t="s">
        <v>565</v>
      </c>
      <c r="B26" s="824" t="s">
        <v>657</v>
      </c>
      <c r="C26" s="824" t="s">
        <v>539</v>
      </c>
      <c r="D26" s="824" t="s">
        <v>540</v>
      </c>
      <c r="E26" s="824" t="s">
        <v>541</v>
      </c>
      <c r="F26" s="824" t="s">
        <v>542</v>
      </c>
      <c r="G26" s="825" t="s">
        <v>543</v>
      </c>
    </row>
    <row r="27" spans="1:7" s="101" customFormat="1" ht="12.75">
      <c r="A27" s="687" t="s">
        <v>160</v>
      </c>
      <c r="B27" s="560">
        <f>'3. Sources Uses'!E129</f>
        <v>0</v>
      </c>
      <c r="C27" s="24" t="s">
        <v>546</v>
      </c>
      <c r="D27" s="24" t="s">
        <v>546</v>
      </c>
      <c r="E27" s="24" t="s">
        <v>546</v>
      </c>
      <c r="F27" s="24" t="s">
        <v>546</v>
      </c>
      <c r="G27" s="27" t="s">
        <v>546</v>
      </c>
    </row>
    <row r="28" spans="1:7" s="101" customFormat="1" ht="12.75">
      <c r="A28" s="687" t="s">
        <v>566</v>
      </c>
      <c r="B28" s="561"/>
      <c r="C28" s="561"/>
      <c r="D28" s="561"/>
      <c r="E28" s="561"/>
      <c r="F28" s="561"/>
      <c r="G28" s="693"/>
    </row>
    <row r="29" spans="1:7" s="101" customFormat="1" ht="12.75">
      <c r="A29" s="116" t="s">
        <v>567</v>
      </c>
      <c r="B29" s="560">
        <f>'3. Sources Uses'!E131</f>
        <v>0</v>
      </c>
      <c r="C29" s="24" t="s">
        <v>546</v>
      </c>
      <c r="D29" s="24" t="s">
        <v>546</v>
      </c>
      <c r="E29" s="24" t="s">
        <v>546</v>
      </c>
      <c r="F29" s="24" t="s">
        <v>546</v>
      </c>
      <c r="G29" s="27" t="s">
        <v>546</v>
      </c>
    </row>
    <row r="30" spans="1:7" s="101" customFormat="1" ht="13.5" thickBot="1">
      <c r="A30" s="116" t="s">
        <v>568</v>
      </c>
      <c r="B30" s="560">
        <f>'3. Sources Uses'!E132</f>
        <v>0</v>
      </c>
      <c r="C30" s="24" t="s">
        <v>546</v>
      </c>
      <c r="D30" s="24" t="s">
        <v>546</v>
      </c>
      <c r="E30" s="24" t="s">
        <v>546</v>
      </c>
      <c r="F30" s="24" t="s">
        <v>546</v>
      </c>
      <c r="G30" s="27" t="s">
        <v>546</v>
      </c>
    </row>
    <row r="31" spans="1:7" s="101" customFormat="1" ht="13.5" thickTop="1">
      <c r="A31" s="116" t="s">
        <v>569</v>
      </c>
      <c r="B31" s="694">
        <f t="shared" ref="B31:G31" si="2">B29+B30</f>
        <v>0</v>
      </c>
      <c r="C31" s="694">
        <f t="shared" si="2"/>
        <v>0</v>
      </c>
      <c r="D31" s="694">
        <f t="shared" si="2"/>
        <v>0</v>
      </c>
      <c r="E31" s="694">
        <f t="shared" si="2"/>
        <v>0</v>
      </c>
      <c r="F31" s="694">
        <f t="shared" si="2"/>
        <v>0</v>
      </c>
      <c r="G31" s="695">
        <f t="shared" si="2"/>
        <v>0</v>
      </c>
    </row>
    <row r="32" spans="1:7" s="101" customFormat="1" ht="12.75">
      <c r="A32" s="687" t="s">
        <v>570</v>
      </c>
      <c r="B32" s="561"/>
      <c r="C32" s="561"/>
      <c r="D32" s="561"/>
      <c r="E32" s="561"/>
      <c r="F32" s="561"/>
      <c r="G32" s="693"/>
    </row>
    <row r="33" spans="1:7" s="101" customFormat="1" ht="12.75">
      <c r="A33" s="116" t="s">
        <v>571</v>
      </c>
      <c r="B33" s="560">
        <f>'3. Sources Uses'!E150</f>
        <v>0</v>
      </c>
      <c r="C33" s="24" t="s">
        <v>546</v>
      </c>
      <c r="D33" s="24" t="s">
        <v>546</v>
      </c>
      <c r="E33" s="24" t="s">
        <v>546</v>
      </c>
      <c r="F33" s="24" t="s">
        <v>546</v>
      </c>
      <c r="G33" s="27" t="s">
        <v>546</v>
      </c>
    </row>
    <row r="34" spans="1:7" s="101" customFormat="1" ht="12.75">
      <c r="A34" s="116" t="s">
        <v>572</v>
      </c>
      <c r="B34" s="560">
        <f>'3. Sources Uses'!E136</f>
        <v>0</v>
      </c>
      <c r="C34" s="24" t="s">
        <v>546</v>
      </c>
      <c r="D34" s="24" t="s">
        <v>546</v>
      </c>
      <c r="E34" s="24" t="s">
        <v>546</v>
      </c>
      <c r="F34" s="24" t="s">
        <v>546</v>
      </c>
      <c r="G34" s="27" t="s">
        <v>546</v>
      </c>
    </row>
    <row r="35" spans="1:7" s="101" customFormat="1" ht="12.75">
      <c r="A35" s="116" t="s">
        <v>573</v>
      </c>
      <c r="B35" s="560">
        <f>'3. Sources Uses'!E137</f>
        <v>0</v>
      </c>
      <c r="C35" s="24" t="s">
        <v>546</v>
      </c>
      <c r="D35" s="24" t="s">
        <v>546</v>
      </c>
      <c r="E35" s="24" t="s">
        <v>546</v>
      </c>
      <c r="F35" s="24" t="s">
        <v>546</v>
      </c>
      <c r="G35" s="27" t="s">
        <v>546</v>
      </c>
    </row>
    <row r="36" spans="1:7" s="101" customFormat="1" ht="12.75">
      <c r="A36" s="116" t="s">
        <v>574</v>
      </c>
      <c r="B36" s="560">
        <f>'3. Sources Uses'!E138</f>
        <v>0</v>
      </c>
      <c r="C36" s="24" t="s">
        <v>546</v>
      </c>
      <c r="D36" s="24" t="s">
        <v>546</v>
      </c>
      <c r="E36" s="24" t="s">
        <v>546</v>
      </c>
      <c r="F36" s="24" t="s">
        <v>546</v>
      </c>
      <c r="G36" s="27" t="s">
        <v>546</v>
      </c>
    </row>
    <row r="37" spans="1:7" s="101" customFormat="1" ht="12.75">
      <c r="A37" s="116" t="s">
        <v>575</v>
      </c>
      <c r="B37" s="560">
        <f>'3. Sources Uses'!E139</f>
        <v>0</v>
      </c>
      <c r="C37" s="24" t="s">
        <v>546</v>
      </c>
      <c r="D37" s="24" t="s">
        <v>546</v>
      </c>
      <c r="E37" s="24" t="s">
        <v>546</v>
      </c>
      <c r="F37" s="24" t="s">
        <v>546</v>
      </c>
      <c r="G37" s="27" t="s">
        <v>546</v>
      </c>
    </row>
    <row r="38" spans="1:7" s="101" customFormat="1" ht="12.75">
      <c r="A38" s="116" t="s">
        <v>576</v>
      </c>
      <c r="B38" s="560">
        <f>'3. Sources Uses'!E140</f>
        <v>0</v>
      </c>
      <c r="C38" s="24" t="s">
        <v>546</v>
      </c>
      <c r="D38" s="24" t="s">
        <v>546</v>
      </c>
      <c r="E38" s="24" t="s">
        <v>546</v>
      </c>
      <c r="F38" s="24" t="s">
        <v>546</v>
      </c>
      <c r="G38" s="27" t="s">
        <v>546</v>
      </c>
    </row>
    <row r="39" spans="1:7" s="101" customFormat="1" ht="12.75">
      <c r="A39" s="116" t="s">
        <v>577</v>
      </c>
      <c r="B39" s="560">
        <f>'3. Sources Uses'!E141</f>
        <v>0</v>
      </c>
      <c r="C39" s="24" t="s">
        <v>546</v>
      </c>
      <c r="D39" s="24" t="s">
        <v>546</v>
      </c>
      <c r="E39" s="24" t="s">
        <v>546</v>
      </c>
      <c r="F39" s="24" t="s">
        <v>546</v>
      </c>
      <c r="G39" s="27" t="s">
        <v>546</v>
      </c>
    </row>
    <row r="40" spans="1:7" s="101" customFormat="1" ht="12.75">
      <c r="A40" s="116" t="s">
        <v>584</v>
      </c>
      <c r="B40" s="560">
        <f>'3. Sources Uses'!E142</f>
        <v>0</v>
      </c>
      <c r="C40" s="24" t="s">
        <v>546</v>
      </c>
      <c r="D40" s="24" t="s">
        <v>546</v>
      </c>
      <c r="E40" s="24" t="s">
        <v>546</v>
      </c>
      <c r="F40" s="24" t="s">
        <v>546</v>
      </c>
      <c r="G40" s="27" t="s">
        <v>546</v>
      </c>
    </row>
    <row r="41" spans="1:7" s="101" customFormat="1" ht="12.75">
      <c r="A41" s="116" t="s">
        <v>585</v>
      </c>
      <c r="B41" s="560">
        <f>'3. Sources Uses'!E143</f>
        <v>0</v>
      </c>
      <c r="C41" s="24" t="s">
        <v>546</v>
      </c>
      <c r="D41" s="24" t="s">
        <v>546</v>
      </c>
      <c r="E41" s="24" t="s">
        <v>546</v>
      </c>
      <c r="F41" s="24" t="s">
        <v>546</v>
      </c>
      <c r="G41" s="27" t="s">
        <v>546</v>
      </c>
    </row>
    <row r="42" spans="1:7" s="101" customFormat="1" ht="12.75">
      <c r="A42" s="116" t="s">
        <v>586</v>
      </c>
      <c r="B42" s="560">
        <f>'3. Sources Uses'!E144</f>
        <v>0</v>
      </c>
      <c r="C42" s="24" t="s">
        <v>546</v>
      </c>
      <c r="D42" s="24" t="s">
        <v>546</v>
      </c>
      <c r="E42" s="24" t="s">
        <v>546</v>
      </c>
      <c r="F42" s="24" t="s">
        <v>546</v>
      </c>
      <c r="G42" s="27" t="s">
        <v>546</v>
      </c>
    </row>
    <row r="43" spans="1:7" s="101" customFormat="1" ht="12.75">
      <c r="A43" s="116" t="s">
        <v>587</v>
      </c>
      <c r="B43" s="560">
        <f>'3. Sources Uses'!E145</f>
        <v>0</v>
      </c>
      <c r="C43" s="24" t="s">
        <v>546</v>
      </c>
      <c r="D43" s="24" t="s">
        <v>546</v>
      </c>
      <c r="E43" s="24" t="s">
        <v>546</v>
      </c>
      <c r="F43" s="24" t="s">
        <v>546</v>
      </c>
      <c r="G43" s="27" t="s">
        <v>546</v>
      </c>
    </row>
    <row r="44" spans="1:7" s="101" customFormat="1" ht="12.75">
      <c r="A44" s="116" t="s">
        <v>588</v>
      </c>
      <c r="B44" s="560">
        <f>'3. Sources Uses'!E146</f>
        <v>0</v>
      </c>
      <c r="C44" s="24" t="s">
        <v>546</v>
      </c>
      <c r="D44" s="24" t="s">
        <v>546</v>
      </c>
      <c r="E44" s="24" t="s">
        <v>546</v>
      </c>
      <c r="F44" s="24" t="s">
        <v>546</v>
      </c>
      <c r="G44" s="27" t="s">
        <v>546</v>
      </c>
    </row>
    <row r="45" spans="1:7" s="101" customFormat="1" ht="12.75">
      <c r="A45" s="116" t="s">
        <v>589</v>
      </c>
      <c r="B45" s="560">
        <f>'3. Sources Uses'!E147</f>
        <v>0</v>
      </c>
      <c r="C45" s="24" t="s">
        <v>546</v>
      </c>
      <c r="D45" s="24" t="s">
        <v>546</v>
      </c>
      <c r="E45" s="24" t="s">
        <v>546</v>
      </c>
      <c r="F45" s="24" t="s">
        <v>546</v>
      </c>
      <c r="G45" s="27" t="s">
        <v>546</v>
      </c>
    </row>
    <row r="46" spans="1:7" s="101" customFormat="1" ht="12.75">
      <c r="A46" s="116" t="s">
        <v>590</v>
      </c>
      <c r="B46" s="560">
        <f>'3. Sources Uses'!E148</f>
        <v>0</v>
      </c>
      <c r="C46" s="24" t="s">
        <v>546</v>
      </c>
      <c r="D46" s="24" t="s">
        <v>546</v>
      </c>
      <c r="E46" s="24" t="s">
        <v>546</v>
      </c>
      <c r="F46" s="24" t="s">
        <v>546</v>
      </c>
      <c r="G46" s="27" t="s">
        <v>546</v>
      </c>
    </row>
    <row r="47" spans="1:7" s="101" customFormat="1" ht="12.75">
      <c r="A47" s="116" t="s">
        <v>591</v>
      </c>
      <c r="B47" s="560">
        <f>'3. Sources Uses'!E149</f>
        <v>0</v>
      </c>
      <c r="C47" s="24" t="s">
        <v>546</v>
      </c>
      <c r="D47" s="24" t="s">
        <v>546</v>
      </c>
      <c r="E47" s="24" t="s">
        <v>546</v>
      </c>
      <c r="F47" s="24" t="s">
        <v>546</v>
      </c>
      <c r="G47" s="27" t="s">
        <v>546</v>
      </c>
    </row>
    <row r="48" spans="1:7" s="101" customFormat="1" ht="12.75">
      <c r="A48" s="116" t="s">
        <v>592</v>
      </c>
      <c r="B48" s="560">
        <f>'3. Sources Uses'!E151</f>
        <v>0</v>
      </c>
      <c r="C48" s="24" t="s">
        <v>546</v>
      </c>
      <c r="D48" s="24" t="s">
        <v>546</v>
      </c>
      <c r="E48" s="24" t="s">
        <v>546</v>
      </c>
      <c r="F48" s="24" t="s">
        <v>546</v>
      </c>
      <c r="G48" s="27" t="s">
        <v>546</v>
      </c>
    </row>
    <row r="49" spans="1:7" s="101" customFormat="1" ht="12.75">
      <c r="A49" s="116" t="s">
        <v>593</v>
      </c>
      <c r="B49" s="560">
        <f>'3. Sources Uses'!E152+'3. Sources Uses'!E153+'3. Sources Uses'!E154+'3. Sources Uses'!E155+'3. Sources Uses'!E156+'3. Sources Uses'!E157</f>
        <v>0</v>
      </c>
      <c r="C49" s="24" t="s">
        <v>546</v>
      </c>
      <c r="D49" s="24" t="s">
        <v>546</v>
      </c>
      <c r="E49" s="24" t="s">
        <v>546</v>
      </c>
      <c r="F49" s="24" t="s">
        <v>546</v>
      </c>
      <c r="G49" s="27" t="s">
        <v>546</v>
      </c>
    </row>
    <row r="50" spans="1:7" s="101" customFormat="1" ht="12.75">
      <c r="A50" s="116" t="s">
        <v>594</v>
      </c>
      <c r="B50" s="560">
        <f>'3. Sources Uses'!E158</f>
        <v>0</v>
      </c>
      <c r="C50" s="24" t="s">
        <v>546</v>
      </c>
      <c r="D50" s="24" t="s">
        <v>546</v>
      </c>
      <c r="E50" s="24" t="s">
        <v>546</v>
      </c>
      <c r="F50" s="24" t="s">
        <v>546</v>
      </c>
      <c r="G50" s="27" t="s">
        <v>546</v>
      </c>
    </row>
    <row r="51" spans="1:7" s="101" customFormat="1" ht="12.75">
      <c r="A51" s="116" t="str">
        <f>IF('3. Sources Uses'!D159&lt;&gt;" ",'3. Sources Uses'!D159,"  Other")</f>
        <v xml:space="preserve">  Other</v>
      </c>
      <c r="B51" s="560">
        <f>'3. Sources Uses'!E159</f>
        <v>0</v>
      </c>
      <c r="C51" s="24" t="s">
        <v>546</v>
      </c>
      <c r="D51" s="24" t="s">
        <v>546</v>
      </c>
      <c r="E51" s="24" t="s">
        <v>546</v>
      </c>
      <c r="F51" s="24" t="s">
        <v>546</v>
      </c>
      <c r="G51" s="27" t="s">
        <v>546</v>
      </c>
    </row>
    <row r="52" spans="1:7" s="101" customFormat="1" ht="12.75">
      <c r="A52" s="116" t="str">
        <f>IF('3. Sources Uses'!D160&lt;&gt;" ",'3. Sources Uses'!D160,"  Other")</f>
        <v xml:space="preserve">  Other</v>
      </c>
      <c r="B52" s="560">
        <f>'3. Sources Uses'!E160</f>
        <v>0</v>
      </c>
      <c r="C52" s="24" t="s">
        <v>546</v>
      </c>
      <c r="D52" s="24" t="s">
        <v>546</v>
      </c>
      <c r="E52" s="24" t="s">
        <v>546</v>
      </c>
      <c r="F52" s="24" t="s">
        <v>546</v>
      </c>
      <c r="G52" s="27" t="s">
        <v>546</v>
      </c>
    </row>
    <row r="53" spans="1:7" s="101" customFormat="1" ht="12.75">
      <c r="A53" s="116" t="s">
        <v>595</v>
      </c>
      <c r="B53" s="560">
        <f>'3. Sources Uses'!E168</f>
        <v>0</v>
      </c>
      <c r="C53" s="24" t="s">
        <v>546</v>
      </c>
      <c r="D53" s="24" t="s">
        <v>546</v>
      </c>
      <c r="E53" s="24" t="s">
        <v>546</v>
      </c>
      <c r="F53" s="24" t="s">
        <v>546</v>
      </c>
      <c r="G53" s="27" t="s">
        <v>546</v>
      </c>
    </row>
    <row r="54" spans="1:7" s="101" customFormat="1" ht="12.75">
      <c r="A54" s="116" t="s">
        <v>596</v>
      </c>
      <c r="B54" s="560">
        <f>'3. Sources Uses'!E169-'3. Sources Uses'!G10</f>
        <v>0</v>
      </c>
      <c r="C54" s="24" t="s">
        <v>546</v>
      </c>
      <c r="D54" s="24" t="s">
        <v>546</v>
      </c>
      <c r="E54" s="24" t="s">
        <v>546</v>
      </c>
      <c r="F54" s="24" t="s">
        <v>546</v>
      </c>
      <c r="G54" s="27" t="s">
        <v>546</v>
      </c>
    </row>
    <row r="55" spans="1:7" s="101" customFormat="1" ht="12.75">
      <c r="A55" s="116" t="s">
        <v>597</v>
      </c>
      <c r="B55" s="560">
        <f>'3. Sources Uses'!E161</f>
        <v>0</v>
      </c>
      <c r="C55" s="24" t="s">
        <v>546</v>
      </c>
      <c r="D55" s="24" t="s">
        <v>546</v>
      </c>
      <c r="E55" s="24" t="s">
        <v>546</v>
      </c>
      <c r="F55" s="24" t="s">
        <v>546</v>
      </c>
      <c r="G55" s="27" t="s">
        <v>546</v>
      </c>
    </row>
    <row r="56" spans="1:7" s="101" customFormat="1" ht="13.5" thickBot="1">
      <c r="A56" s="116" t="s">
        <v>598</v>
      </c>
      <c r="B56" s="560">
        <f>'3. Sources Uses'!E167</f>
        <v>0</v>
      </c>
      <c r="C56" s="24" t="s">
        <v>546</v>
      </c>
      <c r="D56" s="24" t="s">
        <v>546</v>
      </c>
      <c r="E56" s="24" t="s">
        <v>546</v>
      </c>
      <c r="F56" s="24" t="s">
        <v>546</v>
      </c>
      <c r="G56" s="24" t="s">
        <v>546</v>
      </c>
    </row>
    <row r="57" spans="1:7" s="101" customFormat="1" ht="14.25" thickTop="1" thickBot="1">
      <c r="A57" s="116" t="s">
        <v>599</v>
      </c>
      <c r="B57" s="694">
        <f t="shared" ref="B57:G57" si="3">SUM(B33:B56)</f>
        <v>0</v>
      </c>
      <c r="C57" s="694">
        <f t="shared" si="3"/>
        <v>0</v>
      </c>
      <c r="D57" s="694">
        <f t="shared" si="3"/>
        <v>0</v>
      </c>
      <c r="E57" s="694">
        <f t="shared" si="3"/>
        <v>0</v>
      </c>
      <c r="F57" s="694">
        <f t="shared" si="3"/>
        <v>0</v>
      </c>
      <c r="G57" s="695">
        <f t="shared" si="3"/>
        <v>0</v>
      </c>
    </row>
    <row r="58" spans="1:7" s="101" customFormat="1" ht="13.5" thickTop="1">
      <c r="A58" s="687" t="s">
        <v>600</v>
      </c>
      <c r="B58" s="694">
        <f t="shared" ref="B58:G58" si="4">B27+B31+B57</f>
        <v>0</v>
      </c>
      <c r="C58" s="694">
        <f t="shared" si="4"/>
        <v>0</v>
      </c>
      <c r="D58" s="694">
        <f t="shared" si="4"/>
        <v>0</v>
      </c>
      <c r="E58" s="694">
        <f t="shared" si="4"/>
        <v>0</v>
      </c>
      <c r="F58" s="694">
        <f t="shared" si="4"/>
        <v>0</v>
      </c>
      <c r="G58" s="695">
        <f t="shared" si="4"/>
        <v>0</v>
      </c>
    </row>
    <row r="59" spans="1:7" s="101" customFormat="1" ht="12.75">
      <c r="A59" s="687" t="s">
        <v>601</v>
      </c>
      <c r="B59" s="104"/>
      <c r="C59" s="560">
        <f>C58</f>
        <v>0</v>
      </c>
      <c r="D59" s="560">
        <f>C59+D58</f>
        <v>0</v>
      </c>
      <c r="E59" s="560">
        <f>D59+E58</f>
        <v>0</v>
      </c>
      <c r="F59" s="560">
        <f>E59+F58</f>
        <v>0</v>
      </c>
      <c r="G59" s="696">
        <f>F59+G58</f>
        <v>0</v>
      </c>
    </row>
    <row r="60" spans="1:7" s="85" customFormat="1">
      <c r="A60" s="697"/>
      <c r="B60" s="80"/>
      <c r="C60" s="691"/>
      <c r="D60" s="691"/>
      <c r="E60" s="691"/>
      <c r="F60" s="691"/>
      <c r="G60" s="692"/>
    </row>
    <row r="61" spans="1:7" s="101" customFormat="1" ht="12.75">
      <c r="A61" s="687" t="s">
        <v>602</v>
      </c>
      <c r="B61" s="561"/>
      <c r="C61" s="186">
        <f>C58/($B$58+0.000000001)</f>
        <v>0</v>
      </c>
      <c r="D61" s="186">
        <f>D58/($B$58+0.000000001)</f>
        <v>0</v>
      </c>
      <c r="E61" s="186">
        <f>E58/($B$58+0.000000001)</f>
        <v>0</v>
      </c>
      <c r="F61" s="186">
        <f>F58/($B$58+0.000000001)</f>
        <v>0</v>
      </c>
      <c r="G61" s="698">
        <f>G58/($B$58+0.000000001)</f>
        <v>0</v>
      </c>
    </row>
    <row r="62" spans="1:7" s="85" customFormat="1">
      <c r="A62" s="697"/>
      <c r="B62" s="80"/>
      <c r="C62" s="691"/>
      <c r="D62" s="691"/>
      <c r="E62" s="691"/>
      <c r="F62" s="691"/>
      <c r="G62" s="692"/>
    </row>
    <row r="63" spans="1:7" s="101" customFormat="1" ht="12.75">
      <c r="A63" s="116" t="s">
        <v>603</v>
      </c>
      <c r="B63" s="560">
        <v>0</v>
      </c>
      <c r="C63" s="560">
        <f>B63+C10-C19</f>
        <v>0</v>
      </c>
      <c r="D63" s="560">
        <f>C63+D10-D19</f>
        <v>0</v>
      </c>
      <c r="E63" s="560">
        <f>D63+E10-E19</f>
        <v>0</v>
      </c>
      <c r="F63" s="560">
        <f>E63+F10-F19</f>
        <v>0</v>
      </c>
      <c r="G63" s="696">
        <f>F63+G10-G19</f>
        <v>0</v>
      </c>
    </row>
    <row r="64" spans="1:7" s="101" customFormat="1" ht="12.75">
      <c r="A64" s="116" t="s">
        <v>604</v>
      </c>
      <c r="B64" s="560">
        <v>0</v>
      </c>
      <c r="C64" s="560">
        <f t="shared" ref="C64:G65" si="5">B64+C16-C20</f>
        <v>0</v>
      </c>
      <c r="D64" s="560">
        <f t="shared" si="5"/>
        <v>0</v>
      </c>
      <c r="E64" s="560">
        <f t="shared" si="5"/>
        <v>0</v>
      </c>
      <c r="F64" s="560">
        <f t="shared" si="5"/>
        <v>0</v>
      </c>
      <c r="G64" s="696">
        <f t="shared" si="5"/>
        <v>0</v>
      </c>
    </row>
    <row r="65" spans="1:7" s="101" customFormat="1" ht="12.75">
      <c r="A65" s="116" t="s">
        <v>605</v>
      </c>
      <c r="B65" s="560">
        <v>0</v>
      </c>
      <c r="C65" s="560">
        <f t="shared" si="5"/>
        <v>0</v>
      </c>
      <c r="D65" s="560">
        <f t="shared" si="5"/>
        <v>0</v>
      </c>
      <c r="E65" s="560">
        <f t="shared" si="5"/>
        <v>0</v>
      </c>
      <c r="F65" s="560">
        <f t="shared" si="5"/>
        <v>0</v>
      </c>
      <c r="G65" s="696">
        <f t="shared" si="5"/>
        <v>0</v>
      </c>
    </row>
    <row r="66" spans="1:7" s="85" customFormat="1" ht="12" thickBot="1">
      <c r="A66" s="29"/>
      <c r="B66" s="30"/>
      <c r="C66" s="30"/>
      <c r="D66" s="30"/>
      <c r="E66" s="30"/>
      <c r="F66" s="30"/>
      <c r="G66" s="31"/>
    </row>
    <row r="67" spans="1:7" s="84" customFormat="1" ht="14.25">
      <c r="A67" s="359">
        <f>PROJNAME</f>
        <v>0</v>
      </c>
      <c r="B67" s="359"/>
      <c r="C67" s="359"/>
      <c r="D67" s="830" t="e">
        <f>'1. Description'!$G$59</f>
        <v>#VALUE!</v>
      </c>
      <c r="F67" s="829" t="e">
        <f>'1. Description'!$H$59</f>
        <v>#VALUE!</v>
      </c>
    </row>
    <row r="68" spans="1:7" s="85" customFormat="1">
      <c r="A68" s="699" t="str">
        <f>A1</f>
        <v>One Stop2000 Affordable Housing Finance Application [Version 1.21] ©</v>
      </c>
      <c r="B68" s="700"/>
      <c r="C68" s="700"/>
      <c r="D68" s="700"/>
      <c r="E68" s="700"/>
      <c r="F68" s="700"/>
      <c r="G68" s="700"/>
    </row>
    <row r="69" spans="1:7" s="78" customFormat="1" ht="15.75">
      <c r="A69" s="679" t="s">
        <v>534</v>
      </c>
      <c r="B69" s="679"/>
      <c r="C69" s="679"/>
      <c r="D69" s="679"/>
      <c r="E69" s="679"/>
      <c r="F69" s="679"/>
      <c r="G69" s="556"/>
    </row>
    <row r="70" spans="1:7" s="78" customFormat="1" ht="15.75">
      <c r="A70" s="680" t="s">
        <v>535</v>
      </c>
      <c r="B70" s="680"/>
      <c r="C70" s="680"/>
      <c r="D70" s="680"/>
      <c r="E70" s="680"/>
      <c r="F70" s="680"/>
      <c r="G70" s="556"/>
    </row>
    <row r="71" spans="1:7" s="85" customFormat="1" ht="12" thickBot="1">
      <c r="A71" s="681" t="s">
        <v>652</v>
      </c>
      <c r="B71" s="681"/>
      <c r="C71" s="681"/>
      <c r="D71" s="681"/>
      <c r="E71" s="681"/>
      <c r="F71" s="681"/>
      <c r="G71" s="681"/>
    </row>
    <row r="72" spans="1:7" s="85" customFormat="1">
      <c r="A72" s="682"/>
      <c r="B72" s="683"/>
      <c r="C72" s="683"/>
      <c r="D72" s="683"/>
      <c r="E72" s="683"/>
      <c r="F72" s="683"/>
      <c r="G72" s="684"/>
    </row>
    <row r="73" spans="1:7" s="85" customFormat="1">
      <c r="A73" s="685" t="s">
        <v>536</v>
      </c>
      <c r="B73" s="119"/>
      <c r="C73" s="119"/>
      <c r="D73" s="119"/>
      <c r="E73" s="119"/>
      <c r="F73" s="119"/>
      <c r="G73" s="686"/>
    </row>
    <row r="74" spans="1:7" s="85" customFormat="1">
      <c r="A74" s="685" t="s">
        <v>537</v>
      </c>
      <c r="B74" s="119"/>
      <c r="C74" s="119"/>
      <c r="D74" s="119"/>
      <c r="E74" s="119"/>
      <c r="F74" s="119"/>
      <c r="G74" s="686"/>
    </row>
    <row r="75" spans="1:7" s="85" customFormat="1">
      <c r="A75" s="685"/>
      <c r="B75" s="119"/>
      <c r="C75" s="119"/>
      <c r="D75" s="119"/>
      <c r="E75" s="119"/>
      <c r="F75" s="119"/>
      <c r="G75" s="686"/>
    </row>
    <row r="76" spans="1:7" s="101" customFormat="1" ht="15" customHeight="1">
      <c r="A76" s="687" t="s">
        <v>538</v>
      </c>
      <c r="B76" s="210" t="s">
        <v>606</v>
      </c>
      <c r="C76" s="210" t="s">
        <v>607</v>
      </c>
      <c r="D76" s="210" t="s">
        <v>608</v>
      </c>
      <c r="E76" s="210" t="s">
        <v>609</v>
      </c>
      <c r="F76" s="210" t="s">
        <v>610</v>
      </c>
      <c r="G76" s="790" t="s">
        <v>611</v>
      </c>
    </row>
    <row r="77" spans="1:7" s="101" customFormat="1" ht="12.75">
      <c r="A77" s="701" t="s">
        <v>545</v>
      </c>
      <c r="B77" s="24" t="s">
        <v>546</v>
      </c>
      <c r="C77" s="24" t="s">
        <v>546</v>
      </c>
      <c r="D77" s="24" t="s">
        <v>546</v>
      </c>
      <c r="E77" s="24" t="s">
        <v>546</v>
      </c>
      <c r="F77" s="24" t="s">
        <v>546</v>
      </c>
      <c r="G77" s="27" t="s">
        <v>546</v>
      </c>
    </row>
    <row r="78" spans="1:7" s="101" customFormat="1" ht="12.75">
      <c r="A78" s="701" t="s">
        <v>547</v>
      </c>
      <c r="B78" s="24" t="s">
        <v>546</v>
      </c>
      <c r="C78" s="24" t="s">
        <v>546</v>
      </c>
      <c r="D78" s="24" t="s">
        <v>546</v>
      </c>
      <c r="E78" s="24" t="s">
        <v>546</v>
      </c>
      <c r="F78" s="24" t="s">
        <v>546</v>
      </c>
      <c r="G78" s="27" t="s">
        <v>546</v>
      </c>
    </row>
    <row r="79" spans="1:7" s="101" customFormat="1" ht="12.75">
      <c r="A79" s="701" t="s">
        <v>548</v>
      </c>
      <c r="B79" s="24" t="s">
        <v>546</v>
      </c>
      <c r="C79" s="24" t="s">
        <v>546</v>
      </c>
      <c r="D79" s="24" t="s">
        <v>546</v>
      </c>
      <c r="E79" s="24" t="s">
        <v>546</v>
      </c>
      <c r="F79" s="24" t="s">
        <v>546</v>
      </c>
      <c r="G79" s="27" t="s">
        <v>546</v>
      </c>
    </row>
    <row r="80" spans="1:7" s="101" customFormat="1" ht="12.75">
      <c r="A80" s="701" t="s">
        <v>612</v>
      </c>
      <c r="B80" s="24" t="s">
        <v>546</v>
      </c>
      <c r="C80" s="24" t="s">
        <v>546</v>
      </c>
      <c r="D80" s="24" t="s">
        <v>546</v>
      </c>
      <c r="E80" s="24" t="s">
        <v>546</v>
      </c>
      <c r="F80" s="24" t="s">
        <v>546</v>
      </c>
      <c r="G80" s="27" t="s">
        <v>546</v>
      </c>
    </row>
    <row r="81" spans="1:7" s="101" customFormat="1" ht="12.75">
      <c r="A81" s="116" t="s">
        <v>550</v>
      </c>
      <c r="B81" s="24" t="s">
        <v>546</v>
      </c>
      <c r="C81" s="24" t="s">
        <v>546</v>
      </c>
      <c r="D81" s="24" t="s">
        <v>546</v>
      </c>
      <c r="E81" s="24" t="s">
        <v>546</v>
      </c>
      <c r="F81" s="24" t="s">
        <v>546</v>
      </c>
      <c r="G81" s="27" t="s">
        <v>546</v>
      </c>
    </row>
    <row r="82" spans="1:7" s="101" customFormat="1" ht="12.75">
      <c r="A82" s="116" t="s">
        <v>551</v>
      </c>
      <c r="B82" s="24" t="s">
        <v>546</v>
      </c>
      <c r="C82" s="24" t="s">
        <v>546</v>
      </c>
      <c r="D82" s="24" t="s">
        <v>546</v>
      </c>
      <c r="E82" s="24" t="s">
        <v>546</v>
      </c>
      <c r="F82" s="24" t="s">
        <v>546</v>
      </c>
      <c r="G82" s="27" t="s">
        <v>546</v>
      </c>
    </row>
    <row r="83" spans="1:7" s="101" customFormat="1" ht="12.75">
      <c r="A83" s="116" t="s">
        <v>555</v>
      </c>
      <c r="B83" s="24" t="s">
        <v>546</v>
      </c>
      <c r="C83" s="24" t="s">
        <v>546</v>
      </c>
      <c r="D83" s="24" t="s">
        <v>546</v>
      </c>
      <c r="E83" s="24" t="s">
        <v>546</v>
      </c>
      <c r="F83" s="24" t="s">
        <v>546</v>
      </c>
      <c r="G83" s="27" t="s">
        <v>546</v>
      </c>
    </row>
    <row r="84" spans="1:7" s="101" customFormat="1" ht="13.5" thickBot="1">
      <c r="A84" s="116" t="s">
        <v>556</v>
      </c>
      <c r="B84" s="24" t="s">
        <v>546</v>
      </c>
      <c r="C84" s="24" t="s">
        <v>546</v>
      </c>
      <c r="D84" s="24" t="s">
        <v>546</v>
      </c>
      <c r="E84" s="24" t="s">
        <v>546</v>
      </c>
      <c r="F84" s="24" t="s">
        <v>546</v>
      </c>
      <c r="G84" s="27" t="s">
        <v>546</v>
      </c>
    </row>
    <row r="85" spans="1:7" s="101" customFormat="1" ht="14.25" thickTop="1" thickBot="1">
      <c r="A85" s="687" t="s">
        <v>557</v>
      </c>
      <c r="B85" s="694">
        <f t="shared" ref="B85:G85" si="6">SUM(B77:B84)</f>
        <v>0</v>
      </c>
      <c r="C85" s="694">
        <f t="shared" si="6"/>
        <v>0</v>
      </c>
      <c r="D85" s="694">
        <f t="shared" si="6"/>
        <v>0</v>
      </c>
      <c r="E85" s="694">
        <f t="shared" si="6"/>
        <v>0</v>
      </c>
      <c r="F85" s="694">
        <f t="shared" si="6"/>
        <v>0</v>
      </c>
      <c r="G85" s="695">
        <f t="shared" si="6"/>
        <v>0</v>
      </c>
    </row>
    <row r="86" spans="1:7" s="101" customFormat="1" ht="13.5" thickTop="1">
      <c r="A86" s="116" t="s">
        <v>558</v>
      </c>
      <c r="B86" s="32" t="s">
        <v>546</v>
      </c>
      <c r="C86" s="32" t="s">
        <v>546</v>
      </c>
      <c r="D86" s="32" t="s">
        <v>546</v>
      </c>
      <c r="E86" s="32" t="s">
        <v>546</v>
      </c>
      <c r="F86" s="32" t="s">
        <v>546</v>
      </c>
      <c r="G86" s="33" t="s">
        <v>546</v>
      </c>
    </row>
    <row r="87" spans="1:7" s="101" customFormat="1" ht="12.75">
      <c r="A87" s="116" t="s">
        <v>560</v>
      </c>
      <c r="B87" s="24" t="s">
        <v>546</v>
      </c>
      <c r="C87" s="24" t="s">
        <v>546</v>
      </c>
      <c r="D87" s="24" t="s">
        <v>546</v>
      </c>
      <c r="E87" s="24" t="s">
        <v>546</v>
      </c>
      <c r="F87" s="24" t="s">
        <v>546</v>
      </c>
      <c r="G87" s="27" t="s">
        <v>546</v>
      </c>
    </row>
    <row r="88" spans="1:7" s="101" customFormat="1" ht="13.5" thickBot="1">
      <c r="A88" s="116" t="s">
        <v>561</v>
      </c>
      <c r="B88" s="24" t="s">
        <v>546</v>
      </c>
      <c r="C88" s="24" t="s">
        <v>546</v>
      </c>
      <c r="D88" s="24" t="s">
        <v>546</v>
      </c>
      <c r="E88" s="24" t="s">
        <v>546</v>
      </c>
      <c r="F88" s="24" t="s">
        <v>546</v>
      </c>
      <c r="G88" s="27" t="s">
        <v>546</v>
      </c>
    </row>
    <row r="89" spans="1:7" s="101" customFormat="1" ht="13.5" thickTop="1">
      <c r="A89" s="687" t="s">
        <v>562</v>
      </c>
      <c r="B89" s="694">
        <f t="shared" ref="B89:G89" si="7">B85-SUM(B86:B88)</f>
        <v>0</v>
      </c>
      <c r="C89" s="694">
        <f t="shared" si="7"/>
        <v>0</v>
      </c>
      <c r="D89" s="694">
        <f t="shared" si="7"/>
        <v>0</v>
      </c>
      <c r="E89" s="694">
        <f t="shared" si="7"/>
        <v>0</v>
      </c>
      <c r="F89" s="694">
        <f t="shared" si="7"/>
        <v>0</v>
      </c>
      <c r="G89" s="695">
        <f t="shared" si="7"/>
        <v>0</v>
      </c>
    </row>
    <row r="90" spans="1:7" s="101" customFormat="1" ht="12.75">
      <c r="A90" s="687" t="s">
        <v>563</v>
      </c>
      <c r="B90" s="560">
        <f>G23+B89</f>
        <v>0</v>
      </c>
      <c r="C90" s="560">
        <f>B90+C89</f>
        <v>0</v>
      </c>
      <c r="D90" s="560">
        <f>C90+D89</f>
        <v>0</v>
      </c>
      <c r="E90" s="560">
        <f>D90+E89</f>
        <v>0</v>
      </c>
      <c r="F90" s="560">
        <f>E90+F89</f>
        <v>0</v>
      </c>
      <c r="G90" s="696">
        <f>F90+G89</f>
        <v>0</v>
      </c>
    </row>
    <row r="91" spans="1:7" s="85" customFormat="1">
      <c r="A91" s="702"/>
      <c r="B91" s="80" t="s">
        <v>564</v>
      </c>
      <c r="C91" s="691"/>
      <c r="D91" s="691"/>
      <c r="E91" s="691"/>
      <c r="F91" s="691"/>
      <c r="G91" s="692"/>
    </row>
    <row r="92" spans="1:7" s="85" customFormat="1">
      <c r="A92" s="702"/>
      <c r="B92" s="691"/>
      <c r="C92" s="691"/>
      <c r="D92" s="691"/>
      <c r="E92" s="691"/>
      <c r="F92" s="691"/>
      <c r="G92" s="692"/>
    </row>
    <row r="93" spans="1:7" s="101" customFormat="1" ht="12.75">
      <c r="A93" s="703" t="s">
        <v>565</v>
      </c>
      <c r="B93" s="824" t="s">
        <v>606</v>
      </c>
      <c r="C93" s="824" t="s">
        <v>607</v>
      </c>
      <c r="D93" s="824" t="s">
        <v>608</v>
      </c>
      <c r="E93" s="824" t="s">
        <v>609</v>
      </c>
      <c r="F93" s="824" t="s">
        <v>610</v>
      </c>
      <c r="G93" s="825" t="s">
        <v>611</v>
      </c>
    </row>
    <row r="94" spans="1:7" s="101" customFormat="1" ht="12.75">
      <c r="A94" s="703" t="s">
        <v>160</v>
      </c>
      <c r="B94" s="24" t="s">
        <v>546</v>
      </c>
      <c r="C94" s="24" t="s">
        <v>546</v>
      </c>
      <c r="D94" s="24" t="s">
        <v>546</v>
      </c>
      <c r="E94" s="24" t="s">
        <v>546</v>
      </c>
      <c r="F94" s="24" t="s">
        <v>546</v>
      </c>
      <c r="G94" s="704" t="s">
        <v>546</v>
      </c>
    </row>
    <row r="95" spans="1:7" s="101" customFormat="1" ht="12.75">
      <c r="A95" s="703" t="s">
        <v>566</v>
      </c>
      <c r="B95" s="561"/>
      <c r="C95" s="561"/>
      <c r="D95" s="561"/>
      <c r="E95" s="561"/>
      <c r="F95" s="561"/>
      <c r="G95" s="693"/>
    </row>
    <row r="96" spans="1:7" s="101" customFormat="1" ht="12.75">
      <c r="A96" s="701" t="s">
        <v>567</v>
      </c>
      <c r="B96" s="24" t="s">
        <v>546</v>
      </c>
      <c r="C96" s="24" t="s">
        <v>546</v>
      </c>
      <c r="D96" s="24" t="s">
        <v>546</v>
      </c>
      <c r="E96" s="24" t="s">
        <v>546</v>
      </c>
      <c r="F96" s="24" t="s">
        <v>546</v>
      </c>
      <c r="G96" s="27" t="s">
        <v>546</v>
      </c>
    </row>
    <row r="97" spans="1:7" s="101" customFormat="1" ht="13.5" thickBot="1">
      <c r="A97" s="701" t="s">
        <v>568</v>
      </c>
      <c r="B97" s="24" t="s">
        <v>546</v>
      </c>
      <c r="C97" s="24" t="s">
        <v>546</v>
      </c>
      <c r="D97" s="24" t="s">
        <v>546</v>
      </c>
      <c r="E97" s="24" t="s">
        <v>546</v>
      </c>
      <c r="F97" s="24" t="s">
        <v>546</v>
      </c>
      <c r="G97" s="27" t="s">
        <v>546</v>
      </c>
    </row>
    <row r="98" spans="1:7" s="101" customFormat="1" ht="13.5" thickTop="1">
      <c r="A98" s="701" t="s">
        <v>569</v>
      </c>
      <c r="B98" s="694">
        <f t="shared" ref="B98:G98" si="8">B96+B97</f>
        <v>0</v>
      </c>
      <c r="C98" s="694">
        <f t="shared" si="8"/>
        <v>0</v>
      </c>
      <c r="D98" s="694">
        <f t="shared" si="8"/>
        <v>0</v>
      </c>
      <c r="E98" s="694">
        <f t="shared" si="8"/>
        <v>0</v>
      </c>
      <c r="F98" s="694">
        <f t="shared" si="8"/>
        <v>0</v>
      </c>
      <c r="G98" s="695">
        <f t="shared" si="8"/>
        <v>0</v>
      </c>
    </row>
    <row r="99" spans="1:7" s="101" customFormat="1" ht="12.75">
      <c r="A99" s="703" t="s">
        <v>570</v>
      </c>
      <c r="B99" s="561"/>
      <c r="C99" s="561"/>
      <c r="D99" s="561"/>
      <c r="E99" s="561"/>
      <c r="F99" s="561"/>
      <c r="G99" s="693"/>
    </row>
    <row r="100" spans="1:7" s="101" customFormat="1" ht="12.75">
      <c r="A100" s="116" t="s">
        <v>571</v>
      </c>
      <c r="B100" s="24" t="s">
        <v>546</v>
      </c>
      <c r="C100" s="24" t="s">
        <v>546</v>
      </c>
      <c r="D100" s="24" t="s">
        <v>546</v>
      </c>
      <c r="E100" s="24" t="s">
        <v>546</v>
      </c>
      <c r="F100" s="24" t="s">
        <v>546</v>
      </c>
      <c r="G100" s="27" t="s">
        <v>546</v>
      </c>
    </row>
    <row r="101" spans="1:7" s="101" customFormat="1" ht="12.75">
      <c r="A101" s="116" t="s">
        <v>572</v>
      </c>
      <c r="B101" s="24" t="s">
        <v>546</v>
      </c>
      <c r="C101" s="24" t="s">
        <v>546</v>
      </c>
      <c r="D101" s="24" t="s">
        <v>546</v>
      </c>
      <c r="E101" s="24" t="s">
        <v>546</v>
      </c>
      <c r="F101" s="24" t="s">
        <v>546</v>
      </c>
      <c r="G101" s="27" t="s">
        <v>546</v>
      </c>
    </row>
    <row r="102" spans="1:7" s="101" customFormat="1" ht="12.75">
      <c r="A102" s="116" t="s">
        <v>573</v>
      </c>
      <c r="B102" s="24" t="s">
        <v>546</v>
      </c>
      <c r="C102" s="24" t="s">
        <v>546</v>
      </c>
      <c r="D102" s="24" t="s">
        <v>546</v>
      </c>
      <c r="E102" s="24" t="s">
        <v>546</v>
      </c>
      <c r="F102" s="24" t="s">
        <v>546</v>
      </c>
      <c r="G102" s="27" t="s">
        <v>546</v>
      </c>
    </row>
    <row r="103" spans="1:7" s="101" customFormat="1" ht="12.75">
      <c r="A103" s="116" t="s">
        <v>574</v>
      </c>
      <c r="B103" s="24" t="s">
        <v>546</v>
      </c>
      <c r="C103" s="24" t="s">
        <v>546</v>
      </c>
      <c r="D103" s="24" t="s">
        <v>546</v>
      </c>
      <c r="E103" s="24" t="s">
        <v>546</v>
      </c>
      <c r="F103" s="24" t="s">
        <v>546</v>
      </c>
      <c r="G103" s="27" t="s">
        <v>546</v>
      </c>
    </row>
    <row r="104" spans="1:7" s="101" customFormat="1" ht="12.75">
      <c r="A104" s="116" t="s">
        <v>575</v>
      </c>
      <c r="B104" s="24" t="s">
        <v>546</v>
      </c>
      <c r="C104" s="24" t="s">
        <v>546</v>
      </c>
      <c r="D104" s="24" t="s">
        <v>546</v>
      </c>
      <c r="E104" s="24" t="s">
        <v>546</v>
      </c>
      <c r="F104" s="24" t="s">
        <v>546</v>
      </c>
      <c r="G104" s="27" t="s">
        <v>546</v>
      </c>
    </row>
    <row r="105" spans="1:7" s="101" customFormat="1" ht="12.75">
      <c r="A105" s="116" t="s">
        <v>576</v>
      </c>
      <c r="B105" s="24" t="s">
        <v>546</v>
      </c>
      <c r="C105" s="24" t="s">
        <v>546</v>
      </c>
      <c r="D105" s="24" t="s">
        <v>546</v>
      </c>
      <c r="E105" s="24" t="s">
        <v>546</v>
      </c>
      <c r="F105" s="24" t="s">
        <v>546</v>
      </c>
      <c r="G105" s="27" t="s">
        <v>546</v>
      </c>
    </row>
    <row r="106" spans="1:7" s="101" customFormat="1" ht="12.75">
      <c r="A106" s="116" t="s">
        <v>577</v>
      </c>
      <c r="B106" s="24" t="s">
        <v>546</v>
      </c>
      <c r="C106" s="24" t="s">
        <v>546</v>
      </c>
      <c r="D106" s="24" t="s">
        <v>546</v>
      </c>
      <c r="E106" s="24" t="s">
        <v>546</v>
      </c>
      <c r="F106" s="24" t="s">
        <v>546</v>
      </c>
      <c r="G106" s="27" t="s">
        <v>546</v>
      </c>
    </row>
    <row r="107" spans="1:7" s="101" customFormat="1" ht="12.75">
      <c r="A107" s="116" t="s">
        <v>584</v>
      </c>
      <c r="B107" s="24" t="s">
        <v>546</v>
      </c>
      <c r="C107" s="24" t="s">
        <v>546</v>
      </c>
      <c r="D107" s="24" t="s">
        <v>546</v>
      </c>
      <c r="E107" s="24" t="s">
        <v>546</v>
      </c>
      <c r="F107" s="24" t="s">
        <v>546</v>
      </c>
      <c r="G107" s="27" t="s">
        <v>546</v>
      </c>
    </row>
    <row r="108" spans="1:7" s="101" customFormat="1" ht="12.75">
      <c r="A108" s="116" t="s">
        <v>585</v>
      </c>
      <c r="B108" s="24" t="s">
        <v>546</v>
      </c>
      <c r="C108" s="24" t="s">
        <v>546</v>
      </c>
      <c r="D108" s="24" t="s">
        <v>546</v>
      </c>
      <c r="E108" s="24" t="s">
        <v>546</v>
      </c>
      <c r="F108" s="24" t="s">
        <v>546</v>
      </c>
      <c r="G108" s="27" t="s">
        <v>546</v>
      </c>
    </row>
    <row r="109" spans="1:7" s="101" customFormat="1" ht="12.75">
      <c r="A109" s="116" t="s">
        <v>586</v>
      </c>
      <c r="B109" s="24" t="s">
        <v>546</v>
      </c>
      <c r="C109" s="24" t="s">
        <v>546</v>
      </c>
      <c r="D109" s="24" t="s">
        <v>546</v>
      </c>
      <c r="E109" s="24" t="s">
        <v>546</v>
      </c>
      <c r="F109" s="24" t="s">
        <v>546</v>
      </c>
      <c r="G109" s="27" t="s">
        <v>546</v>
      </c>
    </row>
    <row r="110" spans="1:7" s="101" customFormat="1" ht="12.75">
      <c r="A110" s="116" t="s">
        <v>587</v>
      </c>
      <c r="B110" s="24" t="s">
        <v>546</v>
      </c>
      <c r="C110" s="24" t="s">
        <v>546</v>
      </c>
      <c r="D110" s="24" t="s">
        <v>546</v>
      </c>
      <c r="E110" s="24" t="s">
        <v>546</v>
      </c>
      <c r="F110" s="24" t="s">
        <v>546</v>
      </c>
      <c r="G110" s="27" t="s">
        <v>546</v>
      </c>
    </row>
    <row r="111" spans="1:7" s="101" customFormat="1" ht="12.75">
      <c r="A111" s="116" t="s">
        <v>588</v>
      </c>
      <c r="B111" s="24" t="s">
        <v>546</v>
      </c>
      <c r="C111" s="24" t="s">
        <v>546</v>
      </c>
      <c r="D111" s="24" t="s">
        <v>546</v>
      </c>
      <c r="E111" s="24" t="s">
        <v>546</v>
      </c>
      <c r="F111" s="24" t="s">
        <v>546</v>
      </c>
      <c r="G111" s="27" t="s">
        <v>546</v>
      </c>
    </row>
    <row r="112" spans="1:7" s="101" customFormat="1" ht="12.75">
      <c r="A112" s="116" t="s">
        <v>589</v>
      </c>
      <c r="B112" s="24" t="s">
        <v>546</v>
      </c>
      <c r="C112" s="24" t="s">
        <v>546</v>
      </c>
      <c r="D112" s="24" t="s">
        <v>546</v>
      </c>
      <c r="E112" s="24" t="s">
        <v>546</v>
      </c>
      <c r="F112" s="24" t="s">
        <v>546</v>
      </c>
      <c r="G112" s="27" t="s">
        <v>546</v>
      </c>
    </row>
    <row r="113" spans="1:7" s="101" customFormat="1" ht="12.75">
      <c r="A113" s="116" t="s">
        <v>590</v>
      </c>
      <c r="B113" s="24" t="s">
        <v>546</v>
      </c>
      <c r="C113" s="24" t="s">
        <v>546</v>
      </c>
      <c r="D113" s="24" t="s">
        <v>546</v>
      </c>
      <c r="E113" s="24" t="s">
        <v>546</v>
      </c>
      <c r="F113" s="24" t="s">
        <v>546</v>
      </c>
      <c r="G113" s="27" t="s">
        <v>546</v>
      </c>
    </row>
    <row r="114" spans="1:7" s="101" customFormat="1" ht="12.75">
      <c r="A114" s="116" t="s">
        <v>591</v>
      </c>
      <c r="B114" s="24" t="s">
        <v>546</v>
      </c>
      <c r="C114" s="24" t="s">
        <v>546</v>
      </c>
      <c r="D114" s="24" t="s">
        <v>546</v>
      </c>
      <c r="E114" s="24" t="s">
        <v>546</v>
      </c>
      <c r="F114" s="24" t="s">
        <v>546</v>
      </c>
      <c r="G114" s="27" t="s">
        <v>546</v>
      </c>
    </row>
    <row r="115" spans="1:7" s="101" customFormat="1" ht="12.75">
      <c r="A115" s="116" t="s">
        <v>592</v>
      </c>
      <c r="B115" s="24" t="s">
        <v>546</v>
      </c>
      <c r="C115" s="24" t="s">
        <v>546</v>
      </c>
      <c r="D115" s="24" t="s">
        <v>546</v>
      </c>
      <c r="E115" s="24" t="s">
        <v>546</v>
      </c>
      <c r="F115" s="24" t="s">
        <v>546</v>
      </c>
      <c r="G115" s="27" t="s">
        <v>546</v>
      </c>
    </row>
    <row r="116" spans="1:7" s="101" customFormat="1" ht="12.75">
      <c r="A116" s="116" t="s">
        <v>593</v>
      </c>
      <c r="B116" s="24" t="s">
        <v>546</v>
      </c>
      <c r="C116" s="24" t="s">
        <v>546</v>
      </c>
      <c r="D116" s="24" t="s">
        <v>546</v>
      </c>
      <c r="E116" s="24" t="s">
        <v>546</v>
      </c>
      <c r="F116" s="24" t="s">
        <v>546</v>
      </c>
      <c r="G116" s="27" t="s">
        <v>546</v>
      </c>
    </row>
    <row r="117" spans="1:7" s="101" customFormat="1" ht="12.75">
      <c r="A117" s="116" t="s">
        <v>594</v>
      </c>
      <c r="B117" s="24" t="s">
        <v>546</v>
      </c>
      <c r="C117" s="24" t="s">
        <v>546</v>
      </c>
      <c r="D117" s="24" t="s">
        <v>546</v>
      </c>
      <c r="E117" s="24" t="s">
        <v>546</v>
      </c>
      <c r="F117" s="24" t="s">
        <v>546</v>
      </c>
      <c r="G117" s="27" t="s">
        <v>546</v>
      </c>
    </row>
    <row r="118" spans="1:7" s="101" customFormat="1" ht="12.75">
      <c r="A118" s="116" t="str">
        <f>A51</f>
        <v xml:space="preserve">  Other</v>
      </c>
      <c r="B118" s="24" t="s">
        <v>546</v>
      </c>
      <c r="C118" s="24" t="s">
        <v>546</v>
      </c>
      <c r="D118" s="24" t="s">
        <v>546</v>
      </c>
      <c r="E118" s="24" t="s">
        <v>546</v>
      </c>
      <c r="F118" s="24" t="s">
        <v>546</v>
      </c>
      <c r="G118" s="27" t="s">
        <v>546</v>
      </c>
    </row>
    <row r="119" spans="1:7" s="101" customFormat="1" ht="12.75">
      <c r="A119" s="116" t="str">
        <f>A52</f>
        <v xml:space="preserve">  Other</v>
      </c>
      <c r="B119" s="24" t="s">
        <v>546</v>
      </c>
      <c r="C119" s="24" t="s">
        <v>546</v>
      </c>
      <c r="D119" s="24" t="s">
        <v>546</v>
      </c>
      <c r="E119" s="24" t="s">
        <v>546</v>
      </c>
      <c r="F119" s="24" t="s">
        <v>546</v>
      </c>
      <c r="G119" s="27" t="s">
        <v>546</v>
      </c>
    </row>
    <row r="120" spans="1:7" s="101" customFormat="1" ht="12.75">
      <c r="A120" s="116" t="s">
        <v>595</v>
      </c>
      <c r="B120" s="24" t="s">
        <v>546</v>
      </c>
      <c r="C120" s="24" t="s">
        <v>546</v>
      </c>
      <c r="D120" s="24" t="s">
        <v>546</v>
      </c>
      <c r="E120" s="24" t="s">
        <v>546</v>
      </c>
      <c r="F120" s="24" t="s">
        <v>546</v>
      </c>
      <c r="G120" s="27" t="s">
        <v>546</v>
      </c>
    </row>
    <row r="121" spans="1:7" s="101" customFormat="1" ht="12.75">
      <c r="A121" s="116" t="s">
        <v>596</v>
      </c>
      <c r="B121" s="24" t="s">
        <v>546</v>
      </c>
      <c r="C121" s="24" t="s">
        <v>546</v>
      </c>
      <c r="D121" s="24" t="s">
        <v>546</v>
      </c>
      <c r="E121" s="24" t="s">
        <v>546</v>
      </c>
      <c r="F121" s="24" t="s">
        <v>546</v>
      </c>
      <c r="G121" s="27" t="s">
        <v>546</v>
      </c>
    </row>
    <row r="122" spans="1:7" s="101" customFormat="1" ht="12.75">
      <c r="A122" s="116" t="s">
        <v>597</v>
      </c>
      <c r="B122" s="24" t="s">
        <v>546</v>
      </c>
      <c r="C122" s="24" t="s">
        <v>546</v>
      </c>
      <c r="D122" s="24" t="s">
        <v>546</v>
      </c>
      <c r="E122" s="24" t="s">
        <v>546</v>
      </c>
      <c r="F122" s="24" t="s">
        <v>546</v>
      </c>
      <c r="G122" s="27" t="s">
        <v>546</v>
      </c>
    </row>
    <row r="123" spans="1:7" s="101" customFormat="1" ht="13.5" thickBot="1">
      <c r="A123" s="116" t="s">
        <v>598</v>
      </c>
      <c r="B123" s="24" t="s">
        <v>546</v>
      </c>
      <c r="C123" s="24" t="s">
        <v>546</v>
      </c>
      <c r="D123" s="24" t="s">
        <v>546</v>
      </c>
      <c r="E123" s="24" t="s">
        <v>546</v>
      </c>
      <c r="F123" s="24" t="s">
        <v>546</v>
      </c>
      <c r="G123" s="27" t="s">
        <v>546</v>
      </c>
    </row>
    <row r="124" spans="1:7" s="101" customFormat="1" ht="14.25" thickTop="1" thickBot="1">
      <c r="A124" s="701" t="s">
        <v>613</v>
      </c>
      <c r="B124" s="694">
        <f t="shared" ref="B124:G124" si="9">SUM(B100:B123)</f>
        <v>0</v>
      </c>
      <c r="C124" s="694">
        <f t="shared" si="9"/>
        <v>0</v>
      </c>
      <c r="D124" s="694">
        <f t="shared" si="9"/>
        <v>0</v>
      </c>
      <c r="E124" s="694">
        <f t="shared" si="9"/>
        <v>0</v>
      </c>
      <c r="F124" s="694">
        <f t="shared" si="9"/>
        <v>0</v>
      </c>
      <c r="G124" s="695">
        <f t="shared" si="9"/>
        <v>0</v>
      </c>
    </row>
    <row r="125" spans="1:7" s="101" customFormat="1" ht="13.5" thickTop="1">
      <c r="A125" s="703" t="s">
        <v>614</v>
      </c>
      <c r="B125" s="694">
        <f t="shared" ref="B125:G125" si="10">B94+B98+B124</f>
        <v>0</v>
      </c>
      <c r="C125" s="694">
        <f t="shared" si="10"/>
        <v>0</v>
      </c>
      <c r="D125" s="694">
        <f t="shared" si="10"/>
        <v>0</v>
      </c>
      <c r="E125" s="694">
        <f t="shared" si="10"/>
        <v>0</v>
      </c>
      <c r="F125" s="694">
        <f t="shared" si="10"/>
        <v>0</v>
      </c>
      <c r="G125" s="695">
        <f t="shared" si="10"/>
        <v>0</v>
      </c>
    </row>
    <row r="126" spans="1:7" s="101" customFormat="1" ht="12.75">
      <c r="A126" s="687" t="s">
        <v>601</v>
      </c>
      <c r="B126" s="560">
        <f>G59+B125</f>
        <v>0</v>
      </c>
      <c r="C126" s="560">
        <f>B126+C125</f>
        <v>0</v>
      </c>
      <c r="D126" s="560">
        <f>C126+D125</f>
        <v>0</v>
      </c>
      <c r="E126" s="560">
        <f>D126+E125</f>
        <v>0</v>
      </c>
      <c r="F126" s="560">
        <f>E126+F125</f>
        <v>0</v>
      </c>
      <c r="G126" s="696">
        <f>F126+G125</f>
        <v>0</v>
      </c>
    </row>
    <row r="127" spans="1:7" s="85" customFormat="1">
      <c r="A127" s="697"/>
      <c r="B127" s="691"/>
      <c r="C127" s="691"/>
      <c r="D127" s="691"/>
      <c r="E127" s="691"/>
      <c r="F127" s="691"/>
      <c r="G127" s="692"/>
    </row>
    <row r="128" spans="1:7" s="101" customFormat="1" ht="12.75">
      <c r="A128" s="687" t="s">
        <v>615</v>
      </c>
      <c r="B128" s="186">
        <f t="shared" ref="B128:G128" si="11">B125/($B$58+0.00000001)</f>
        <v>0</v>
      </c>
      <c r="C128" s="186">
        <f t="shared" si="11"/>
        <v>0</v>
      </c>
      <c r="D128" s="186">
        <f t="shared" si="11"/>
        <v>0</v>
      </c>
      <c r="E128" s="186">
        <f t="shared" si="11"/>
        <v>0</v>
      </c>
      <c r="F128" s="186">
        <f t="shared" si="11"/>
        <v>0</v>
      </c>
      <c r="G128" s="698">
        <f t="shared" si="11"/>
        <v>0</v>
      </c>
    </row>
    <row r="129" spans="1:7" s="85" customFormat="1">
      <c r="A129" s="697"/>
      <c r="B129" s="691"/>
      <c r="C129" s="691"/>
      <c r="D129" s="691"/>
      <c r="E129" s="691"/>
      <c r="F129" s="691"/>
      <c r="G129" s="692"/>
    </row>
    <row r="130" spans="1:7" s="101" customFormat="1" ht="12.75">
      <c r="A130" s="116" t="s">
        <v>603</v>
      </c>
      <c r="B130" s="560">
        <f>G63+B77-B86</f>
        <v>0</v>
      </c>
      <c r="C130" s="560">
        <f>B130+C77-C86</f>
        <v>0</v>
      </c>
      <c r="D130" s="560">
        <f>C130+D77-D86</f>
        <v>0</v>
      </c>
      <c r="E130" s="560">
        <f>D130+E77-E86</f>
        <v>0</v>
      </c>
      <c r="F130" s="560">
        <f>E130+F77-F86</f>
        <v>0</v>
      </c>
      <c r="G130" s="696">
        <f>F130+G77-G86</f>
        <v>0</v>
      </c>
    </row>
    <row r="131" spans="1:7" s="101" customFormat="1" ht="12.75">
      <c r="A131" s="116" t="s">
        <v>604</v>
      </c>
      <c r="B131" s="560">
        <f>G64+B83-B87</f>
        <v>0</v>
      </c>
      <c r="C131" s="560">
        <f t="shared" ref="C131:G132" si="12">B131+C83-C87</f>
        <v>0</v>
      </c>
      <c r="D131" s="560">
        <f t="shared" si="12"/>
        <v>0</v>
      </c>
      <c r="E131" s="560">
        <f t="shared" si="12"/>
        <v>0</v>
      </c>
      <c r="F131" s="560">
        <f t="shared" si="12"/>
        <v>0</v>
      </c>
      <c r="G131" s="696">
        <f t="shared" si="12"/>
        <v>0</v>
      </c>
    </row>
    <row r="132" spans="1:7" s="101" customFormat="1" ht="12.75">
      <c r="A132" s="116" t="s">
        <v>605</v>
      </c>
      <c r="B132" s="560">
        <f>G65+B84-B88</f>
        <v>0</v>
      </c>
      <c r="C132" s="560">
        <f t="shared" si="12"/>
        <v>0</v>
      </c>
      <c r="D132" s="560">
        <f t="shared" si="12"/>
        <v>0</v>
      </c>
      <c r="E132" s="560">
        <f t="shared" si="12"/>
        <v>0</v>
      </c>
      <c r="F132" s="560">
        <f t="shared" si="12"/>
        <v>0</v>
      </c>
      <c r="G132" s="696">
        <f t="shared" si="12"/>
        <v>0</v>
      </c>
    </row>
    <row r="133" spans="1:7" s="85" customFormat="1" ht="12" thickBot="1">
      <c r="A133" s="705"/>
      <c r="B133" s="30"/>
      <c r="C133" s="30"/>
      <c r="D133" s="30"/>
      <c r="E133" s="30"/>
      <c r="F133" s="30"/>
      <c r="G133" s="31"/>
    </row>
    <row r="134" spans="1:7" s="84" customFormat="1" ht="14.25">
      <c r="A134" s="359">
        <f>PROJNAME</f>
        <v>0</v>
      </c>
      <c r="B134" s="359"/>
      <c r="C134" s="359"/>
      <c r="D134" s="830" t="e">
        <f>'1. Description'!$G$59</f>
        <v>#VALUE!</v>
      </c>
      <c r="F134" s="829" t="e">
        <f>'1. Description'!$H$59</f>
        <v>#VALUE!</v>
      </c>
    </row>
    <row r="135" spans="1:7" s="85" customFormat="1">
      <c r="A135" s="677" t="str">
        <f>A1</f>
        <v>One Stop2000 Affordable Housing Finance Application [Version 1.21] ©</v>
      </c>
      <c r="B135" s="677"/>
      <c r="C135" s="677"/>
      <c r="D135" s="677"/>
      <c r="E135" s="677"/>
      <c r="F135" s="677"/>
      <c r="G135" s="677"/>
    </row>
    <row r="136" spans="1:7" s="707" customFormat="1" ht="15.75">
      <c r="A136" s="679" t="s">
        <v>534</v>
      </c>
      <c r="B136" s="679"/>
      <c r="C136" s="679"/>
      <c r="D136" s="679"/>
      <c r="E136" s="679"/>
      <c r="F136" s="679"/>
      <c r="G136" s="706"/>
    </row>
    <row r="137" spans="1:7" s="707" customFormat="1" ht="15.75">
      <c r="A137" s="680" t="s">
        <v>535</v>
      </c>
      <c r="B137" s="680"/>
      <c r="C137" s="680"/>
      <c r="D137" s="680"/>
      <c r="E137" s="680"/>
      <c r="F137" s="680"/>
      <c r="G137" s="706"/>
    </row>
    <row r="138" spans="1:7" s="85" customFormat="1" ht="12" thickBot="1">
      <c r="A138" s="681" t="s">
        <v>682</v>
      </c>
      <c r="B138" s="681"/>
      <c r="C138" s="681"/>
      <c r="D138" s="681"/>
      <c r="E138" s="681"/>
      <c r="F138" s="681"/>
      <c r="G138" s="681"/>
    </row>
    <row r="139" spans="1:7" s="85" customFormat="1">
      <c r="A139" s="682"/>
      <c r="B139" s="683"/>
      <c r="C139" s="683"/>
      <c r="D139" s="683"/>
      <c r="E139" s="683"/>
      <c r="F139" s="683"/>
      <c r="G139" s="684"/>
    </row>
    <row r="140" spans="1:7" s="85" customFormat="1">
      <c r="A140" s="685" t="s">
        <v>536</v>
      </c>
      <c r="B140" s="119"/>
      <c r="C140" s="119"/>
      <c r="D140" s="119"/>
      <c r="E140" s="119"/>
      <c r="F140" s="119"/>
      <c r="G140" s="686"/>
    </row>
    <row r="141" spans="1:7" s="85" customFormat="1">
      <c r="A141" s="685" t="s">
        <v>537</v>
      </c>
      <c r="B141" s="119"/>
      <c r="C141" s="119"/>
      <c r="D141" s="119"/>
      <c r="E141" s="119"/>
      <c r="F141" s="119"/>
      <c r="G141" s="686"/>
    </row>
    <row r="142" spans="1:7" s="85" customFormat="1">
      <c r="A142" s="685"/>
      <c r="B142" s="119"/>
      <c r="C142" s="119"/>
      <c r="D142" s="119"/>
      <c r="E142" s="119"/>
      <c r="F142" s="119"/>
      <c r="G142" s="686"/>
    </row>
    <row r="143" spans="1:7" s="101" customFormat="1" ht="12.75">
      <c r="A143" s="687" t="s">
        <v>538</v>
      </c>
      <c r="B143" s="210" t="s">
        <v>616</v>
      </c>
      <c r="C143" s="210" t="s">
        <v>617</v>
      </c>
      <c r="D143" s="210" t="s">
        <v>618</v>
      </c>
      <c r="E143" s="210" t="s">
        <v>619</v>
      </c>
      <c r="F143" s="210" t="s">
        <v>620</v>
      </c>
      <c r="G143" s="790" t="s">
        <v>621</v>
      </c>
    </row>
    <row r="144" spans="1:7" s="101" customFormat="1" ht="12.75">
      <c r="A144" s="701" t="s">
        <v>545</v>
      </c>
      <c r="B144" s="24" t="s">
        <v>546</v>
      </c>
      <c r="C144" s="24" t="s">
        <v>546</v>
      </c>
      <c r="D144" s="24" t="s">
        <v>546</v>
      </c>
      <c r="E144" s="24" t="s">
        <v>546</v>
      </c>
      <c r="F144" s="24" t="s">
        <v>546</v>
      </c>
      <c r="G144" s="27" t="s">
        <v>546</v>
      </c>
    </row>
    <row r="145" spans="1:8" s="101" customFormat="1" ht="12.75">
      <c r="A145" s="701" t="s">
        <v>547</v>
      </c>
      <c r="B145" s="24" t="s">
        <v>546</v>
      </c>
      <c r="C145" s="24" t="s">
        <v>546</v>
      </c>
      <c r="D145" s="24" t="s">
        <v>546</v>
      </c>
      <c r="E145" s="24" t="s">
        <v>546</v>
      </c>
      <c r="F145" s="24" t="s">
        <v>546</v>
      </c>
      <c r="G145" s="27" t="s">
        <v>546</v>
      </c>
    </row>
    <row r="146" spans="1:8" s="101" customFormat="1" ht="12.75">
      <c r="A146" s="701" t="s">
        <v>548</v>
      </c>
      <c r="B146" s="24" t="s">
        <v>546</v>
      </c>
      <c r="C146" s="24" t="s">
        <v>546</v>
      </c>
      <c r="D146" s="24" t="s">
        <v>546</v>
      </c>
      <c r="E146" s="24" t="s">
        <v>546</v>
      </c>
      <c r="F146" s="24" t="s">
        <v>546</v>
      </c>
      <c r="G146" s="27" t="s">
        <v>546</v>
      </c>
    </row>
    <row r="147" spans="1:8" s="101" customFormat="1" ht="12.75">
      <c r="A147" s="701" t="s">
        <v>612</v>
      </c>
      <c r="B147" s="24" t="s">
        <v>546</v>
      </c>
      <c r="C147" s="24" t="s">
        <v>546</v>
      </c>
      <c r="D147" s="24" t="s">
        <v>546</v>
      </c>
      <c r="E147" s="24" t="s">
        <v>546</v>
      </c>
      <c r="F147" s="24" t="s">
        <v>546</v>
      </c>
      <c r="G147" s="27" t="s">
        <v>546</v>
      </c>
    </row>
    <row r="148" spans="1:8" s="101" customFormat="1" ht="12.75">
      <c r="A148" s="116" t="s">
        <v>550</v>
      </c>
      <c r="B148" s="24" t="s">
        <v>546</v>
      </c>
      <c r="C148" s="24" t="s">
        <v>546</v>
      </c>
      <c r="D148" s="24" t="s">
        <v>546</v>
      </c>
      <c r="E148" s="24" t="s">
        <v>546</v>
      </c>
      <c r="F148" s="24" t="s">
        <v>546</v>
      </c>
      <c r="G148" s="27" t="s">
        <v>546</v>
      </c>
    </row>
    <row r="149" spans="1:8" s="101" customFormat="1" ht="12.75">
      <c r="A149" s="116" t="s">
        <v>551</v>
      </c>
      <c r="B149" s="24" t="s">
        <v>546</v>
      </c>
      <c r="C149" s="24" t="s">
        <v>546</v>
      </c>
      <c r="D149" s="24" t="s">
        <v>546</v>
      </c>
      <c r="E149" s="24" t="s">
        <v>546</v>
      </c>
      <c r="F149" s="24" t="s">
        <v>546</v>
      </c>
      <c r="G149" s="27" t="s">
        <v>546</v>
      </c>
    </row>
    <row r="150" spans="1:8" s="101" customFormat="1" ht="12.75">
      <c r="A150" s="116" t="s">
        <v>555</v>
      </c>
      <c r="B150" s="24" t="s">
        <v>546</v>
      </c>
      <c r="C150" s="24" t="s">
        <v>546</v>
      </c>
      <c r="D150" s="24" t="s">
        <v>546</v>
      </c>
      <c r="E150" s="24" t="s">
        <v>546</v>
      </c>
      <c r="F150" s="24" t="s">
        <v>546</v>
      </c>
      <c r="G150" s="27" t="s">
        <v>546</v>
      </c>
    </row>
    <row r="151" spans="1:8" s="101" customFormat="1" ht="13.5" thickBot="1">
      <c r="A151" s="116" t="s">
        <v>556</v>
      </c>
      <c r="B151" s="24" t="s">
        <v>546</v>
      </c>
      <c r="C151" s="24" t="s">
        <v>546</v>
      </c>
      <c r="D151" s="24" t="s">
        <v>546</v>
      </c>
      <c r="E151" s="24" t="s">
        <v>546</v>
      </c>
      <c r="F151" s="24" t="s">
        <v>546</v>
      </c>
      <c r="G151" s="27" t="s">
        <v>546</v>
      </c>
    </row>
    <row r="152" spans="1:8" s="101" customFormat="1" ht="14.25" thickTop="1" thickBot="1">
      <c r="A152" s="687" t="s">
        <v>557</v>
      </c>
      <c r="B152" s="694">
        <f t="shared" ref="B152:G152" si="13">SUM(B144:B151)</f>
        <v>0</v>
      </c>
      <c r="C152" s="694">
        <f t="shared" si="13"/>
        <v>0</v>
      </c>
      <c r="D152" s="694">
        <f t="shared" si="13"/>
        <v>0</v>
      </c>
      <c r="E152" s="694">
        <f t="shared" si="13"/>
        <v>0</v>
      </c>
      <c r="F152" s="694">
        <f t="shared" si="13"/>
        <v>0</v>
      </c>
      <c r="G152" s="695">
        <f t="shared" si="13"/>
        <v>0</v>
      </c>
    </row>
    <row r="153" spans="1:8" s="101" customFormat="1" ht="13.5" thickTop="1">
      <c r="A153" s="116" t="s">
        <v>558</v>
      </c>
      <c r="B153" s="32" t="s">
        <v>546</v>
      </c>
      <c r="C153" s="32" t="s">
        <v>546</v>
      </c>
      <c r="D153" s="32" t="s">
        <v>546</v>
      </c>
      <c r="E153" s="32" t="s">
        <v>546</v>
      </c>
      <c r="F153" s="32" t="s">
        <v>546</v>
      </c>
      <c r="G153" s="33" t="s">
        <v>546</v>
      </c>
    </row>
    <row r="154" spans="1:8" s="101" customFormat="1" ht="12.75">
      <c r="A154" s="116" t="s">
        <v>560</v>
      </c>
      <c r="B154" s="24" t="s">
        <v>546</v>
      </c>
      <c r="C154" s="24" t="s">
        <v>546</v>
      </c>
      <c r="D154" s="24" t="s">
        <v>546</v>
      </c>
      <c r="E154" s="24" t="s">
        <v>546</v>
      </c>
      <c r="F154" s="24" t="s">
        <v>546</v>
      </c>
      <c r="G154" s="27" t="s">
        <v>546</v>
      </c>
    </row>
    <row r="155" spans="1:8" s="101" customFormat="1" ht="13.5" thickBot="1">
      <c r="A155" s="116" t="s">
        <v>561</v>
      </c>
      <c r="B155" s="24" t="s">
        <v>546</v>
      </c>
      <c r="C155" s="24" t="s">
        <v>546</v>
      </c>
      <c r="D155" s="24" t="s">
        <v>546</v>
      </c>
      <c r="E155" s="24" t="s">
        <v>546</v>
      </c>
      <c r="F155" s="24" t="s">
        <v>546</v>
      </c>
      <c r="G155" s="27" t="s">
        <v>546</v>
      </c>
    </row>
    <row r="156" spans="1:8" s="101" customFormat="1" ht="13.5" thickTop="1">
      <c r="A156" s="687" t="s">
        <v>562</v>
      </c>
      <c r="B156" s="694">
        <f t="shared" ref="B156:G156" si="14">B152-SUM(B153:B155)</f>
        <v>0</v>
      </c>
      <c r="C156" s="694">
        <f t="shared" si="14"/>
        <v>0</v>
      </c>
      <c r="D156" s="694">
        <f t="shared" si="14"/>
        <v>0</v>
      </c>
      <c r="E156" s="694">
        <f t="shared" si="14"/>
        <v>0</v>
      </c>
      <c r="F156" s="694">
        <f t="shared" si="14"/>
        <v>0</v>
      </c>
      <c r="G156" s="695">
        <f t="shared" si="14"/>
        <v>0</v>
      </c>
      <c r="H156" s="668"/>
    </row>
    <row r="157" spans="1:8" s="101" customFormat="1" ht="12.75">
      <c r="A157" s="687" t="s">
        <v>563</v>
      </c>
      <c r="B157" s="560">
        <f>G90+B156</f>
        <v>0</v>
      </c>
      <c r="C157" s="560">
        <f>B157+C156</f>
        <v>0</v>
      </c>
      <c r="D157" s="560">
        <f>C157+D156</f>
        <v>0</v>
      </c>
      <c r="E157" s="560">
        <f>D157+E156</f>
        <v>0</v>
      </c>
      <c r="F157" s="560">
        <f>E157+F156</f>
        <v>0</v>
      </c>
      <c r="G157" s="696">
        <f>F157+G156</f>
        <v>0</v>
      </c>
      <c r="H157" s="668"/>
    </row>
    <row r="158" spans="1:8" s="85" customFormat="1">
      <c r="A158" s="702"/>
      <c r="B158" s="80" t="s">
        <v>564</v>
      </c>
      <c r="C158" s="691"/>
      <c r="D158" s="691"/>
      <c r="E158" s="691"/>
      <c r="F158" s="691"/>
      <c r="G158" s="692"/>
      <c r="H158" s="557"/>
    </row>
    <row r="159" spans="1:8" s="85" customFormat="1">
      <c r="A159" s="702"/>
      <c r="B159" s="691"/>
      <c r="C159" s="691"/>
      <c r="D159" s="691"/>
      <c r="E159" s="691"/>
      <c r="F159" s="691"/>
      <c r="G159" s="692"/>
    </row>
    <row r="160" spans="1:8" s="101" customFormat="1" ht="12.75">
      <c r="A160" s="703" t="s">
        <v>565</v>
      </c>
      <c r="B160" s="824" t="s">
        <v>616</v>
      </c>
      <c r="C160" s="824" t="s">
        <v>617</v>
      </c>
      <c r="D160" s="824" t="s">
        <v>618</v>
      </c>
      <c r="E160" s="824" t="s">
        <v>619</v>
      </c>
      <c r="F160" s="824" t="s">
        <v>620</v>
      </c>
      <c r="G160" s="825" t="s">
        <v>621</v>
      </c>
    </row>
    <row r="161" spans="1:7" s="101" customFormat="1" ht="12.75">
      <c r="A161" s="703" t="s">
        <v>160</v>
      </c>
      <c r="B161" s="24" t="s">
        <v>546</v>
      </c>
      <c r="C161" s="24" t="s">
        <v>546</v>
      </c>
      <c r="D161" s="24" t="s">
        <v>546</v>
      </c>
      <c r="E161" s="24" t="s">
        <v>546</v>
      </c>
      <c r="F161" s="24" t="s">
        <v>546</v>
      </c>
      <c r="G161" s="27" t="s">
        <v>546</v>
      </c>
    </row>
    <row r="162" spans="1:7" s="101" customFormat="1" ht="12.75">
      <c r="A162" s="703" t="s">
        <v>566</v>
      </c>
      <c r="B162" s="561"/>
      <c r="C162" s="561"/>
      <c r="D162" s="561"/>
      <c r="E162" s="561"/>
      <c r="F162" s="561"/>
      <c r="G162" s="693"/>
    </row>
    <row r="163" spans="1:7" s="101" customFormat="1" ht="12.75">
      <c r="A163" s="701" t="s">
        <v>567</v>
      </c>
      <c r="B163" s="24" t="s">
        <v>546</v>
      </c>
      <c r="C163" s="24" t="s">
        <v>546</v>
      </c>
      <c r="D163" s="24" t="s">
        <v>546</v>
      </c>
      <c r="E163" s="24" t="s">
        <v>546</v>
      </c>
      <c r="F163" s="24" t="s">
        <v>546</v>
      </c>
      <c r="G163" s="27" t="s">
        <v>546</v>
      </c>
    </row>
    <row r="164" spans="1:7" s="101" customFormat="1" ht="13.5" thickBot="1">
      <c r="A164" s="701" t="s">
        <v>568</v>
      </c>
      <c r="B164" s="24" t="s">
        <v>546</v>
      </c>
      <c r="C164" s="24" t="s">
        <v>546</v>
      </c>
      <c r="D164" s="24" t="s">
        <v>546</v>
      </c>
      <c r="E164" s="24" t="s">
        <v>546</v>
      </c>
      <c r="F164" s="24" t="s">
        <v>546</v>
      </c>
      <c r="G164" s="27" t="s">
        <v>546</v>
      </c>
    </row>
    <row r="165" spans="1:7" s="101" customFormat="1" ht="13.5" thickTop="1">
      <c r="A165" s="701" t="s">
        <v>569</v>
      </c>
      <c r="B165" s="694">
        <f t="shared" ref="B165:G165" si="15">B163+B164</f>
        <v>0</v>
      </c>
      <c r="C165" s="694">
        <f t="shared" si="15"/>
        <v>0</v>
      </c>
      <c r="D165" s="694">
        <f t="shared" si="15"/>
        <v>0</v>
      </c>
      <c r="E165" s="694">
        <f t="shared" si="15"/>
        <v>0</v>
      </c>
      <c r="F165" s="694">
        <f t="shared" si="15"/>
        <v>0</v>
      </c>
      <c r="G165" s="695">
        <f t="shared" si="15"/>
        <v>0</v>
      </c>
    </row>
    <row r="166" spans="1:7" s="101" customFormat="1" ht="12.75">
      <c r="A166" s="703" t="s">
        <v>570</v>
      </c>
      <c r="B166" s="561"/>
      <c r="C166" s="561"/>
      <c r="D166" s="561"/>
      <c r="E166" s="561"/>
      <c r="F166" s="561"/>
      <c r="G166" s="693"/>
    </row>
    <row r="167" spans="1:7" s="101" customFormat="1" ht="12.75">
      <c r="A167" s="116" t="s">
        <v>571</v>
      </c>
      <c r="B167" s="24" t="s">
        <v>546</v>
      </c>
      <c r="C167" s="24" t="s">
        <v>546</v>
      </c>
      <c r="D167" s="24" t="s">
        <v>546</v>
      </c>
      <c r="E167" s="24" t="s">
        <v>546</v>
      </c>
      <c r="F167" s="24" t="s">
        <v>546</v>
      </c>
      <c r="G167" s="27" t="s">
        <v>546</v>
      </c>
    </row>
    <row r="168" spans="1:7" s="101" customFormat="1" ht="12.75">
      <c r="A168" s="116" t="s">
        <v>572</v>
      </c>
      <c r="B168" s="24" t="s">
        <v>546</v>
      </c>
      <c r="C168" s="24" t="s">
        <v>546</v>
      </c>
      <c r="D168" s="24" t="s">
        <v>546</v>
      </c>
      <c r="E168" s="24" t="s">
        <v>546</v>
      </c>
      <c r="F168" s="24" t="s">
        <v>546</v>
      </c>
      <c r="G168" s="27" t="s">
        <v>546</v>
      </c>
    </row>
    <row r="169" spans="1:7" s="101" customFormat="1" ht="12.75">
      <c r="A169" s="116" t="s">
        <v>573</v>
      </c>
      <c r="B169" s="24" t="s">
        <v>546</v>
      </c>
      <c r="C169" s="24" t="s">
        <v>546</v>
      </c>
      <c r="D169" s="24" t="s">
        <v>546</v>
      </c>
      <c r="E169" s="24" t="s">
        <v>546</v>
      </c>
      <c r="F169" s="24" t="s">
        <v>546</v>
      </c>
      <c r="G169" s="27" t="s">
        <v>546</v>
      </c>
    </row>
    <row r="170" spans="1:7" s="101" customFormat="1" ht="12.75">
      <c r="A170" s="116" t="s">
        <v>574</v>
      </c>
      <c r="B170" s="24" t="s">
        <v>546</v>
      </c>
      <c r="C170" s="24" t="s">
        <v>546</v>
      </c>
      <c r="D170" s="24" t="s">
        <v>546</v>
      </c>
      <c r="E170" s="24" t="s">
        <v>546</v>
      </c>
      <c r="F170" s="24" t="s">
        <v>546</v>
      </c>
      <c r="G170" s="27" t="s">
        <v>546</v>
      </c>
    </row>
    <row r="171" spans="1:7" s="101" customFormat="1" ht="12.75">
      <c r="A171" s="116" t="s">
        <v>575</v>
      </c>
      <c r="B171" s="24" t="s">
        <v>546</v>
      </c>
      <c r="C171" s="24" t="s">
        <v>546</v>
      </c>
      <c r="D171" s="24" t="s">
        <v>546</v>
      </c>
      <c r="E171" s="24" t="s">
        <v>546</v>
      </c>
      <c r="F171" s="24" t="s">
        <v>546</v>
      </c>
      <c r="G171" s="27" t="s">
        <v>546</v>
      </c>
    </row>
    <row r="172" spans="1:7" s="101" customFormat="1" ht="12.75">
      <c r="A172" s="116" t="s">
        <v>576</v>
      </c>
      <c r="B172" s="24" t="s">
        <v>546</v>
      </c>
      <c r="C172" s="24" t="s">
        <v>546</v>
      </c>
      <c r="D172" s="24" t="s">
        <v>546</v>
      </c>
      <c r="E172" s="24" t="s">
        <v>546</v>
      </c>
      <c r="F172" s="24" t="s">
        <v>546</v>
      </c>
      <c r="G172" s="27" t="s">
        <v>546</v>
      </c>
    </row>
    <row r="173" spans="1:7" s="101" customFormat="1" ht="12.75">
      <c r="A173" s="116" t="s">
        <v>577</v>
      </c>
      <c r="B173" s="24" t="s">
        <v>546</v>
      </c>
      <c r="C173" s="24" t="s">
        <v>546</v>
      </c>
      <c r="D173" s="24" t="s">
        <v>546</v>
      </c>
      <c r="E173" s="24" t="s">
        <v>546</v>
      </c>
      <c r="F173" s="24" t="s">
        <v>546</v>
      </c>
      <c r="G173" s="27" t="s">
        <v>546</v>
      </c>
    </row>
    <row r="174" spans="1:7" s="101" customFormat="1" ht="12.75">
      <c r="A174" s="116" t="s">
        <v>584</v>
      </c>
      <c r="B174" s="24" t="s">
        <v>546</v>
      </c>
      <c r="C174" s="24" t="s">
        <v>546</v>
      </c>
      <c r="D174" s="24" t="s">
        <v>546</v>
      </c>
      <c r="E174" s="24" t="s">
        <v>546</v>
      </c>
      <c r="F174" s="24" t="s">
        <v>546</v>
      </c>
      <c r="G174" s="27" t="s">
        <v>546</v>
      </c>
    </row>
    <row r="175" spans="1:7" s="101" customFormat="1" ht="12.75">
      <c r="A175" s="116" t="s">
        <v>585</v>
      </c>
      <c r="B175" s="24" t="s">
        <v>546</v>
      </c>
      <c r="C175" s="24" t="s">
        <v>546</v>
      </c>
      <c r="D175" s="24" t="s">
        <v>546</v>
      </c>
      <c r="E175" s="24" t="s">
        <v>546</v>
      </c>
      <c r="F175" s="24" t="s">
        <v>546</v>
      </c>
      <c r="G175" s="27" t="s">
        <v>546</v>
      </c>
    </row>
    <row r="176" spans="1:7" s="101" customFormat="1" ht="12.75">
      <c r="A176" s="116" t="s">
        <v>586</v>
      </c>
      <c r="B176" s="24" t="s">
        <v>546</v>
      </c>
      <c r="C176" s="24" t="s">
        <v>546</v>
      </c>
      <c r="D176" s="24" t="s">
        <v>546</v>
      </c>
      <c r="E176" s="24" t="s">
        <v>546</v>
      </c>
      <c r="F176" s="24" t="s">
        <v>546</v>
      </c>
      <c r="G176" s="27" t="s">
        <v>546</v>
      </c>
    </row>
    <row r="177" spans="1:7" s="101" customFormat="1" ht="12.75">
      <c r="A177" s="116" t="s">
        <v>587</v>
      </c>
      <c r="B177" s="24" t="s">
        <v>546</v>
      </c>
      <c r="C177" s="24" t="s">
        <v>546</v>
      </c>
      <c r="D177" s="24" t="s">
        <v>546</v>
      </c>
      <c r="E177" s="24" t="s">
        <v>546</v>
      </c>
      <c r="F177" s="24" t="s">
        <v>546</v>
      </c>
      <c r="G177" s="27" t="s">
        <v>546</v>
      </c>
    </row>
    <row r="178" spans="1:7" s="101" customFormat="1" ht="12.75">
      <c r="A178" s="116" t="s">
        <v>588</v>
      </c>
      <c r="B178" s="24" t="s">
        <v>546</v>
      </c>
      <c r="C178" s="24" t="s">
        <v>546</v>
      </c>
      <c r="D178" s="24" t="s">
        <v>546</v>
      </c>
      <c r="E178" s="24" t="s">
        <v>546</v>
      </c>
      <c r="F178" s="24" t="s">
        <v>546</v>
      </c>
      <c r="G178" s="27" t="s">
        <v>546</v>
      </c>
    </row>
    <row r="179" spans="1:7" s="101" customFormat="1" ht="12.75">
      <c r="A179" s="116" t="s">
        <v>589</v>
      </c>
      <c r="B179" s="24" t="s">
        <v>546</v>
      </c>
      <c r="C179" s="24" t="s">
        <v>546</v>
      </c>
      <c r="D179" s="24" t="s">
        <v>546</v>
      </c>
      <c r="E179" s="24" t="s">
        <v>546</v>
      </c>
      <c r="F179" s="24" t="s">
        <v>546</v>
      </c>
      <c r="G179" s="27" t="s">
        <v>546</v>
      </c>
    </row>
    <row r="180" spans="1:7" s="101" customFormat="1" ht="12.75">
      <c r="A180" s="116" t="s">
        <v>590</v>
      </c>
      <c r="B180" s="24" t="s">
        <v>546</v>
      </c>
      <c r="C180" s="24" t="s">
        <v>546</v>
      </c>
      <c r="D180" s="24" t="s">
        <v>546</v>
      </c>
      <c r="E180" s="24" t="s">
        <v>546</v>
      </c>
      <c r="F180" s="24" t="s">
        <v>546</v>
      </c>
      <c r="G180" s="27" t="s">
        <v>546</v>
      </c>
    </row>
    <row r="181" spans="1:7" s="101" customFormat="1" ht="12.75">
      <c r="A181" s="116" t="s">
        <v>591</v>
      </c>
      <c r="B181" s="24" t="s">
        <v>546</v>
      </c>
      <c r="C181" s="24" t="s">
        <v>546</v>
      </c>
      <c r="D181" s="24" t="s">
        <v>546</v>
      </c>
      <c r="E181" s="24" t="s">
        <v>546</v>
      </c>
      <c r="F181" s="24" t="s">
        <v>546</v>
      </c>
      <c r="G181" s="27" t="s">
        <v>546</v>
      </c>
    </row>
    <row r="182" spans="1:7" s="101" customFormat="1" ht="12.75">
      <c r="A182" s="116" t="s">
        <v>592</v>
      </c>
      <c r="B182" s="24" t="s">
        <v>546</v>
      </c>
      <c r="C182" s="24" t="s">
        <v>546</v>
      </c>
      <c r="D182" s="24" t="s">
        <v>546</v>
      </c>
      <c r="E182" s="24" t="s">
        <v>546</v>
      </c>
      <c r="F182" s="24" t="s">
        <v>546</v>
      </c>
      <c r="G182" s="27" t="s">
        <v>546</v>
      </c>
    </row>
    <row r="183" spans="1:7" s="101" customFormat="1" ht="12.75">
      <c r="A183" s="116" t="s">
        <v>593</v>
      </c>
      <c r="B183" s="24" t="s">
        <v>546</v>
      </c>
      <c r="C183" s="24" t="s">
        <v>546</v>
      </c>
      <c r="D183" s="24" t="s">
        <v>546</v>
      </c>
      <c r="E183" s="24" t="s">
        <v>546</v>
      </c>
      <c r="F183" s="24" t="s">
        <v>546</v>
      </c>
      <c r="G183" s="27" t="s">
        <v>546</v>
      </c>
    </row>
    <row r="184" spans="1:7" s="101" customFormat="1" ht="12.75">
      <c r="A184" s="116" t="s">
        <v>594</v>
      </c>
      <c r="B184" s="24" t="s">
        <v>546</v>
      </c>
      <c r="C184" s="24" t="s">
        <v>546</v>
      </c>
      <c r="D184" s="24" t="s">
        <v>546</v>
      </c>
      <c r="E184" s="24" t="s">
        <v>546</v>
      </c>
      <c r="F184" s="24" t="s">
        <v>546</v>
      </c>
      <c r="G184" s="27" t="s">
        <v>546</v>
      </c>
    </row>
    <row r="185" spans="1:7" s="101" customFormat="1" ht="12.75">
      <c r="A185" s="116" t="str">
        <f>A51</f>
        <v xml:space="preserve">  Other</v>
      </c>
      <c r="B185" s="24" t="s">
        <v>546</v>
      </c>
      <c r="C185" s="24" t="s">
        <v>546</v>
      </c>
      <c r="D185" s="24" t="s">
        <v>546</v>
      </c>
      <c r="E185" s="24" t="s">
        <v>546</v>
      </c>
      <c r="F185" s="24" t="s">
        <v>546</v>
      </c>
      <c r="G185" s="27" t="s">
        <v>546</v>
      </c>
    </row>
    <row r="186" spans="1:7" s="101" customFormat="1" ht="12.75">
      <c r="A186" s="116" t="str">
        <f>A52</f>
        <v xml:space="preserve">  Other</v>
      </c>
      <c r="B186" s="24" t="s">
        <v>546</v>
      </c>
      <c r="C186" s="24" t="s">
        <v>546</v>
      </c>
      <c r="D186" s="24" t="s">
        <v>546</v>
      </c>
      <c r="E186" s="24" t="s">
        <v>546</v>
      </c>
      <c r="F186" s="24" t="s">
        <v>546</v>
      </c>
      <c r="G186" s="27" t="s">
        <v>546</v>
      </c>
    </row>
    <row r="187" spans="1:7" s="101" customFormat="1" ht="12.75">
      <c r="A187" s="116" t="s">
        <v>595</v>
      </c>
      <c r="B187" s="24" t="s">
        <v>546</v>
      </c>
      <c r="C187" s="24" t="s">
        <v>546</v>
      </c>
      <c r="D187" s="24" t="s">
        <v>546</v>
      </c>
      <c r="E187" s="24" t="s">
        <v>546</v>
      </c>
      <c r="F187" s="24" t="s">
        <v>546</v>
      </c>
      <c r="G187" s="27" t="s">
        <v>546</v>
      </c>
    </row>
    <row r="188" spans="1:7" s="101" customFormat="1" ht="12.75">
      <c r="A188" s="116" t="s">
        <v>596</v>
      </c>
      <c r="B188" s="24" t="s">
        <v>546</v>
      </c>
      <c r="C188" s="24" t="s">
        <v>546</v>
      </c>
      <c r="D188" s="24" t="s">
        <v>546</v>
      </c>
      <c r="E188" s="24" t="s">
        <v>546</v>
      </c>
      <c r="F188" s="24" t="s">
        <v>546</v>
      </c>
      <c r="G188" s="27" t="s">
        <v>546</v>
      </c>
    </row>
    <row r="189" spans="1:7" s="101" customFormat="1" ht="12.75">
      <c r="A189" s="116" t="s">
        <v>597</v>
      </c>
      <c r="B189" s="24" t="s">
        <v>546</v>
      </c>
      <c r="C189" s="24" t="s">
        <v>546</v>
      </c>
      <c r="D189" s="24" t="s">
        <v>546</v>
      </c>
      <c r="E189" s="24" t="s">
        <v>546</v>
      </c>
      <c r="F189" s="24" t="s">
        <v>546</v>
      </c>
      <c r="G189" s="27" t="s">
        <v>546</v>
      </c>
    </row>
    <row r="190" spans="1:7" s="101" customFormat="1" ht="13.5" thickBot="1">
      <c r="A190" s="116" t="s">
        <v>598</v>
      </c>
      <c r="B190" s="24" t="s">
        <v>546</v>
      </c>
      <c r="C190" s="24" t="s">
        <v>546</v>
      </c>
      <c r="D190" s="24" t="s">
        <v>546</v>
      </c>
      <c r="E190" s="24" t="s">
        <v>546</v>
      </c>
      <c r="F190" s="24" t="s">
        <v>546</v>
      </c>
      <c r="G190" s="27" t="s">
        <v>546</v>
      </c>
    </row>
    <row r="191" spans="1:7" s="101" customFormat="1" ht="14.25" thickTop="1" thickBot="1">
      <c r="A191" s="701" t="s">
        <v>613</v>
      </c>
      <c r="B191" s="694">
        <f t="shared" ref="B191:G191" si="16">SUM(B167:B190)</f>
        <v>0</v>
      </c>
      <c r="C191" s="694">
        <f t="shared" si="16"/>
        <v>0</v>
      </c>
      <c r="D191" s="694">
        <f t="shared" si="16"/>
        <v>0</v>
      </c>
      <c r="E191" s="694">
        <f t="shared" si="16"/>
        <v>0</v>
      </c>
      <c r="F191" s="694">
        <f t="shared" si="16"/>
        <v>0</v>
      </c>
      <c r="G191" s="695">
        <f t="shared" si="16"/>
        <v>0</v>
      </c>
    </row>
    <row r="192" spans="1:7" s="101" customFormat="1" ht="13.5" thickTop="1">
      <c r="A192" s="703" t="s">
        <v>614</v>
      </c>
      <c r="B192" s="694">
        <f t="shared" ref="B192:G192" si="17">B161+B165+B191</f>
        <v>0</v>
      </c>
      <c r="C192" s="694">
        <f t="shared" si="17"/>
        <v>0</v>
      </c>
      <c r="D192" s="694">
        <f t="shared" si="17"/>
        <v>0</v>
      </c>
      <c r="E192" s="694">
        <f t="shared" si="17"/>
        <v>0</v>
      </c>
      <c r="F192" s="694">
        <f t="shared" si="17"/>
        <v>0</v>
      </c>
      <c r="G192" s="695">
        <f t="shared" si="17"/>
        <v>0</v>
      </c>
    </row>
    <row r="193" spans="1:7" s="101" customFormat="1" ht="12.75">
      <c r="A193" s="687" t="s">
        <v>601</v>
      </c>
      <c r="B193" s="560">
        <f>G126+B192</f>
        <v>0</v>
      </c>
      <c r="C193" s="560">
        <f>B193+C192</f>
        <v>0</v>
      </c>
      <c r="D193" s="560">
        <f>C193+D192</f>
        <v>0</v>
      </c>
      <c r="E193" s="560">
        <f>D193+E192</f>
        <v>0</v>
      </c>
      <c r="F193" s="560">
        <f>E193+F192</f>
        <v>0</v>
      </c>
      <c r="G193" s="696">
        <f>F193+G192</f>
        <v>0</v>
      </c>
    </row>
    <row r="194" spans="1:7" s="85" customFormat="1">
      <c r="A194" s="697"/>
      <c r="B194" s="691"/>
      <c r="C194" s="691"/>
      <c r="D194" s="691"/>
      <c r="E194" s="691"/>
      <c r="F194" s="691"/>
      <c r="G194" s="692"/>
    </row>
    <row r="195" spans="1:7" s="101" customFormat="1" ht="12.75">
      <c r="A195" s="687" t="s">
        <v>615</v>
      </c>
      <c r="B195" s="186">
        <f t="shared" ref="B195:G195" si="18">B192/($B$58+0.00000001)</f>
        <v>0</v>
      </c>
      <c r="C195" s="186">
        <f t="shared" si="18"/>
        <v>0</v>
      </c>
      <c r="D195" s="186">
        <f t="shared" si="18"/>
        <v>0</v>
      </c>
      <c r="E195" s="186">
        <f t="shared" si="18"/>
        <v>0</v>
      </c>
      <c r="F195" s="186">
        <f t="shared" si="18"/>
        <v>0</v>
      </c>
      <c r="G195" s="698">
        <f t="shared" si="18"/>
        <v>0</v>
      </c>
    </row>
    <row r="196" spans="1:7" s="85" customFormat="1">
      <c r="A196" s="697"/>
      <c r="B196" s="691"/>
      <c r="C196" s="691"/>
      <c r="D196" s="691"/>
      <c r="E196" s="691"/>
      <c r="F196" s="691"/>
      <c r="G196" s="692"/>
    </row>
    <row r="197" spans="1:7" s="101" customFormat="1" ht="12.75">
      <c r="A197" s="116" t="s">
        <v>603</v>
      </c>
      <c r="B197" s="560">
        <f>G130+B144-B153</f>
        <v>0</v>
      </c>
      <c r="C197" s="560">
        <f>B197+C144-C153</f>
        <v>0</v>
      </c>
      <c r="D197" s="560">
        <f>C197+D144-D153</f>
        <v>0</v>
      </c>
      <c r="E197" s="560">
        <f>D197+E144-E153</f>
        <v>0</v>
      </c>
      <c r="F197" s="560">
        <f>E197+F144-F153</f>
        <v>0</v>
      </c>
      <c r="G197" s="696">
        <f>F197+G144-G153</f>
        <v>0</v>
      </c>
    </row>
    <row r="198" spans="1:7" s="101" customFormat="1" ht="12.75">
      <c r="A198" s="116" t="s">
        <v>604</v>
      </c>
      <c r="B198" s="560">
        <f>G131+B150-B154</f>
        <v>0</v>
      </c>
      <c r="C198" s="560">
        <f t="shared" ref="C198:G199" si="19">B198+C150-C154</f>
        <v>0</v>
      </c>
      <c r="D198" s="560">
        <f t="shared" si="19"/>
        <v>0</v>
      </c>
      <c r="E198" s="560">
        <f t="shared" si="19"/>
        <v>0</v>
      </c>
      <c r="F198" s="560">
        <f t="shared" si="19"/>
        <v>0</v>
      </c>
      <c r="G198" s="696">
        <f t="shared" si="19"/>
        <v>0</v>
      </c>
    </row>
    <row r="199" spans="1:7" s="101" customFormat="1" ht="12.75">
      <c r="A199" s="116" t="s">
        <v>605</v>
      </c>
      <c r="B199" s="560">
        <f>G132+B151-B155</f>
        <v>0</v>
      </c>
      <c r="C199" s="560">
        <f t="shared" si="19"/>
        <v>0</v>
      </c>
      <c r="D199" s="560">
        <f t="shared" si="19"/>
        <v>0</v>
      </c>
      <c r="E199" s="560">
        <f t="shared" si="19"/>
        <v>0</v>
      </c>
      <c r="F199" s="560">
        <f t="shared" si="19"/>
        <v>0</v>
      </c>
      <c r="G199" s="696">
        <f t="shared" si="19"/>
        <v>0</v>
      </c>
    </row>
    <row r="200" spans="1:7" s="85" customFormat="1" ht="12" thickBot="1">
      <c r="A200" s="705"/>
      <c r="B200" s="30"/>
      <c r="C200" s="30"/>
      <c r="D200" s="30"/>
      <c r="E200" s="30"/>
      <c r="F200" s="30"/>
      <c r="G200" s="31"/>
    </row>
    <row r="201" spans="1:7" s="85" customFormat="1" ht="14.25">
      <c r="A201" s="359">
        <f>PROJNAME</f>
        <v>0</v>
      </c>
      <c r="B201" s="359"/>
      <c r="C201" s="359"/>
      <c r="D201" s="830" t="e">
        <f>'1. Description'!$G$59</f>
        <v>#VALUE!</v>
      </c>
      <c r="E201" s="84"/>
      <c r="F201" s="829" t="e">
        <f>'1. Description'!$H$59</f>
        <v>#VALUE!</v>
      </c>
      <c r="G201" s="84"/>
    </row>
    <row r="202" spans="1:7" s="85" customFormat="1">
      <c r="A202" s="677" t="str">
        <f>A1</f>
        <v>One Stop2000 Affordable Housing Finance Application [Version 1.21] ©</v>
      </c>
      <c r="B202" s="678"/>
      <c r="C202" s="678"/>
      <c r="D202" s="678"/>
      <c r="E202" s="678"/>
      <c r="F202" s="678"/>
      <c r="G202" s="678"/>
    </row>
    <row r="203" spans="1:7" s="707" customFormat="1" ht="15.75">
      <c r="A203" s="679" t="s">
        <v>534</v>
      </c>
      <c r="B203" s="679"/>
      <c r="C203" s="679"/>
      <c r="D203" s="679"/>
      <c r="E203" s="679"/>
      <c r="F203" s="679"/>
      <c r="G203" s="706"/>
    </row>
    <row r="204" spans="1:7" s="707" customFormat="1" ht="15.75">
      <c r="A204" s="680" t="s">
        <v>535</v>
      </c>
      <c r="B204" s="680"/>
      <c r="C204" s="680"/>
      <c r="D204" s="680"/>
      <c r="E204" s="680"/>
      <c r="F204" s="680"/>
      <c r="G204" s="706"/>
    </row>
    <row r="205" spans="1:7" s="85" customFormat="1" ht="12" thickBot="1">
      <c r="A205" s="681" t="s">
        <v>747</v>
      </c>
      <c r="B205" s="681"/>
      <c r="C205" s="681"/>
      <c r="D205" s="681"/>
      <c r="E205" s="681"/>
      <c r="F205" s="681"/>
      <c r="G205" s="681"/>
    </row>
    <row r="206" spans="1:7" s="85" customFormat="1">
      <c r="A206" s="682"/>
      <c r="B206" s="683"/>
      <c r="C206" s="683"/>
      <c r="D206" s="683"/>
      <c r="E206" s="683"/>
      <c r="F206" s="683"/>
      <c r="G206" s="684"/>
    </row>
    <row r="207" spans="1:7" s="85" customFormat="1">
      <c r="A207" s="685" t="s">
        <v>536</v>
      </c>
      <c r="B207" s="119"/>
      <c r="C207" s="119"/>
      <c r="D207" s="119"/>
      <c r="E207" s="119"/>
      <c r="F207" s="119"/>
      <c r="G207" s="686"/>
    </row>
    <row r="208" spans="1:7" s="85" customFormat="1">
      <c r="A208" s="685" t="s">
        <v>537</v>
      </c>
      <c r="B208" s="119"/>
      <c r="C208" s="119"/>
      <c r="D208" s="119"/>
      <c r="E208" s="119"/>
      <c r="F208" s="119"/>
      <c r="G208" s="686"/>
    </row>
    <row r="209" spans="1:8" s="85" customFormat="1" ht="12.75">
      <c r="A209" s="685"/>
      <c r="B209" s="119"/>
      <c r="C209" s="119"/>
      <c r="D209" s="119"/>
      <c r="E209" s="119"/>
      <c r="F209" s="119"/>
      <c r="G209" s="791"/>
    </row>
    <row r="210" spans="1:8" s="101" customFormat="1" ht="12.75">
      <c r="A210" s="687" t="s">
        <v>538</v>
      </c>
      <c r="B210" s="210" t="s">
        <v>623</v>
      </c>
      <c r="C210" s="210" t="s">
        <v>624</v>
      </c>
      <c r="D210" s="210" t="s">
        <v>625</v>
      </c>
      <c r="E210" s="210" t="s">
        <v>626</v>
      </c>
      <c r="F210" s="210" t="s">
        <v>627</v>
      </c>
      <c r="G210" s="790" t="s">
        <v>231</v>
      </c>
    </row>
    <row r="211" spans="1:8" s="101" customFormat="1" ht="12.75">
      <c r="A211" s="701" t="s">
        <v>545</v>
      </c>
      <c r="B211" s="24" t="s">
        <v>546</v>
      </c>
      <c r="C211" s="24" t="s">
        <v>546</v>
      </c>
      <c r="D211" s="24" t="s">
        <v>546</v>
      </c>
      <c r="E211" s="24" t="s">
        <v>546</v>
      </c>
      <c r="F211" s="24" t="s">
        <v>546</v>
      </c>
      <c r="G211" s="27" t="s">
        <v>546</v>
      </c>
      <c r="H211" s="551"/>
    </row>
    <row r="212" spans="1:8" s="101" customFormat="1" ht="12.75">
      <c r="A212" s="701" t="s">
        <v>547</v>
      </c>
      <c r="B212" s="24" t="s">
        <v>546</v>
      </c>
      <c r="C212" s="24" t="s">
        <v>546</v>
      </c>
      <c r="D212" s="24" t="s">
        <v>546</v>
      </c>
      <c r="E212" s="24" t="s">
        <v>546</v>
      </c>
      <c r="F212" s="24" t="s">
        <v>546</v>
      </c>
      <c r="G212" s="27" t="s">
        <v>546</v>
      </c>
      <c r="H212" s="551"/>
    </row>
    <row r="213" spans="1:8" s="101" customFormat="1" ht="12.75">
      <c r="A213" s="701" t="s">
        <v>548</v>
      </c>
      <c r="B213" s="24" t="s">
        <v>546</v>
      </c>
      <c r="C213" s="24" t="s">
        <v>546</v>
      </c>
      <c r="D213" s="24" t="s">
        <v>546</v>
      </c>
      <c r="E213" s="24" t="s">
        <v>546</v>
      </c>
      <c r="F213" s="24" t="s">
        <v>546</v>
      </c>
      <c r="G213" s="27" t="s">
        <v>546</v>
      </c>
      <c r="H213" s="551"/>
    </row>
    <row r="214" spans="1:8" s="101" customFormat="1" ht="12.75">
      <c r="A214" s="701" t="s">
        <v>612</v>
      </c>
      <c r="B214" s="24" t="s">
        <v>546</v>
      </c>
      <c r="C214" s="24" t="s">
        <v>546</v>
      </c>
      <c r="D214" s="24" t="s">
        <v>546</v>
      </c>
      <c r="E214" s="24" t="s">
        <v>546</v>
      </c>
      <c r="F214" s="24" t="s">
        <v>546</v>
      </c>
      <c r="G214" s="27" t="s">
        <v>546</v>
      </c>
      <c r="H214" s="551"/>
    </row>
    <row r="215" spans="1:8" s="101" customFormat="1" ht="12.75">
      <c r="A215" s="116" t="s">
        <v>550</v>
      </c>
      <c r="B215" s="24" t="s">
        <v>546</v>
      </c>
      <c r="C215" s="24" t="s">
        <v>546</v>
      </c>
      <c r="D215" s="24" t="s">
        <v>546</v>
      </c>
      <c r="E215" s="24" t="s">
        <v>546</v>
      </c>
      <c r="F215" s="24" t="s">
        <v>546</v>
      </c>
      <c r="G215" s="27" t="s">
        <v>546</v>
      </c>
      <c r="H215" s="551"/>
    </row>
    <row r="216" spans="1:8" s="101" customFormat="1" ht="12.75">
      <c r="A216" s="116" t="s">
        <v>551</v>
      </c>
      <c r="B216" s="24" t="s">
        <v>546</v>
      </c>
      <c r="C216" s="24" t="s">
        <v>546</v>
      </c>
      <c r="D216" s="24" t="s">
        <v>546</v>
      </c>
      <c r="E216" s="24" t="s">
        <v>546</v>
      </c>
      <c r="F216" s="24" t="s">
        <v>546</v>
      </c>
      <c r="G216" s="27" t="s">
        <v>546</v>
      </c>
      <c r="H216" s="551"/>
    </row>
    <row r="217" spans="1:8" s="101" customFormat="1" ht="12.75">
      <c r="A217" s="116" t="s">
        <v>555</v>
      </c>
      <c r="B217" s="24" t="s">
        <v>546</v>
      </c>
      <c r="C217" s="24" t="s">
        <v>546</v>
      </c>
      <c r="D217" s="24" t="s">
        <v>546</v>
      </c>
      <c r="E217" s="24" t="s">
        <v>546</v>
      </c>
      <c r="F217" s="24" t="s">
        <v>546</v>
      </c>
      <c r="G217" s="27" t="s">
        <v>546</v>
      </c>
      <c r="H217" s="551"/>
    </row>
    <row r="218" spans="1:8" s="101" customFormat="1" ht="13.5" thickBot="1">
      <c r="A218" s="116" t="s">
        <v>556</v>
      </c>
      <c r="B218" s="24" t="s">
        <v>546</v>
      </c>
      <c r="C218" s="24" t="s">
        <v>546</v>
      </c>
      <c r="D218" s="24" t="s">
        <v>546</v>
      </c>
      <c r="E218" s="24" t="s">
        <v>546</v>
      </c>
      <c r="F218" s="24" t="s">
        <v>546</v>
      </c>
      <c r="G218" s="27" t="s">
        <v>546</v>
      </c>
      <c r="H218" s="551"/>
    </row>
    <row r="219" spans="1:8" s="101" customFormat="1" ht="14.25" thickTop="1" thickBot="1">
      <c r="A219" s="687" t="s">
        <v>557</v>
      </c>
      <c r="B219" s="694">
        <f t="shared" ref="B219:G219" si="20">SUM(B211:B218)</f>
        <v>0</v>
      </c>
      <c r="C219" s="694">
        <f t="shared" si="20"/>
        <v>0</v>
      </c>
      <c r="D219" s="694">
        <f t="shared" si="20"/>
        <v>0</v>
      </c>
      <c r="E219" s="694">
        <f t="shared" si="20"/>
        <v>0</v>
      </c>
      <c r="F219" s="694">
        <f t="shared" si="20"/>
        <v>0</v>
      </c>
      <c r="G219" s="689">
        <f t="shared" si="20"/>
        <v>0</v>
      </c>
      <c r="H219" s="668"/>
    </row>
    <row r="220" spans="1:8" s="101" customFormat="1" ht="13.5" thickTop="1">
      <c r="A220" s="116" t="s">
        <v>558</v>
      </c>
      <c r="B220" s="32" t="s">
        <v>546</v>
      </c>
      <c r="C220" s="32" t="s">
        <v>546</v>
      </c>
      <c r="D220" s="32" t="s">
        <v>546</v>
      </c>
      <c r="E220" s="32" t="s">
        <v>546</v>
      </c>
      <c r="F220" s="32" t="s">
        <v>546</v>
      </c>
      <c r="G220" s="33" t="s">
        <v>546</v>
      </c>
      <c r="H220" s="551"/>
    </row>
    <row r="221" spans="1:8" s="101" customFormat="1" ht="12.75">
      <c r="A221" s="116" t="s">
        <v>560</v>
      </c>
      <c r="B221" s="24" t="s">
        <v>546</v>
      </c>
      <c r="C221" s="24" t="s">
        <v>546</v>
      </c>
      <c r="D221" s="24" t="s">
        <v>546</v>
      </c>
      <c r="E221" s="24" t="s">
        <v>546</v>
      </c>
      <c r="F221" s="24" t="s">
        <v>546</v>
      </c>
      <c r="G221" s="27" t="s">
        <v>546</v>
      </c>
      <c r="H221" s="551"/>
    </row>
    <row r="222" spans="1:8" s="101" customFormat="1" ht="13.5" thickBot="1">
      <c r="A222" s="116" t="s">
        <v>561</v>
      </c>
      <c r="B222" s="24" t="s">
        <v>546</v>
      </c>
      <c r="C222" s="24" t="s">
        <v>546</v>
      </c>
      <c r="D222" s="24" t="s">
        <v>546</v>
      </c>
      <c r="E222" s="24" t="s">
        <v>546</v>
      </c>
      <c r="F222" s="24" t="s">
        <v>546</v>
      </c>
      <c r="G222" s="27" t="s">
        <v>546</v>
      </c>
      <c r="H222" s="551"/>
    </row>
    <row r="223" spans="1:8" s="101" customFormat="1" ht="13.5" thickTop="1">
      <c r="A223" s="687" t="s">
        <v>562</v>
      </c>
      <c r="B223" s="694">
        <f t="shared" ref="B223:G223" si="21">B219-SUM(B220:B222)</f>
        <v>0</v>
      </c>
      <c r="C223" s="694">
        <f t="shared" si="21"/>
        <v>0</v>
      </c>
      <c r="D223" s="694">
        <f t="shared" si="21"/>
        <v>0</v>
      </c>
      <c r="E223" s="694">
        <f t="shared" si="21"/>
        <v>0</v>
      </c>
      <c r="F223" s="694">
        <f t="shared" si="21"/>
        <v>0</v>
      </c>
      <c r="G223" s="695">
        <f t="shared" si="21"/>
        <v>0</v>
      </c>
      <c r="H223" s="668"/>
    </row>
    <row r="224" spans="1:8" s="101" customFormat="1" ht="12.75">
      <c r="A224" s="687" t="s">
        <v>563</v>
      </c>
      <c r="B224" s="560">
        <f>G157+B223</f>
        <v>0</v>
      </c>
      <c r="C224" s="560">
        <f>B224+C223</f>
        <v>0</v>
      </c>
      <c r="D224" s="560">
        <f>C224+D223</f>
        <v>0</v>
      </c>
      <c r="E224" s="560">
        <f>D224+E223</f>
        <v>0</v>
      </c>
      <c r="F224" s="560">
        <f>E224+F223</f>
        <v>0</v>
      </c>
      <c r="G224" s="696">
        <f>F224+G223</f>
        <v>0</v>
      </c>
      <c r="H224" s="668"/>
    </row>
    <row r="225" spans="1:8" s="85" customFormat="1">
      <c r="A225" s="702"/>
      <c r="B225" s="80" t="s">
        <v>564</v>
      </c>
      <c r="C225" s="691"/>
      <c r="D225" s="691"/>
      <c r="E225" s="691"/>
      <c r="F225" s="691"/>
      <c r="G225" s="692"/>
      <c r="H225" s="557"/>
    </row>
    <row r="226" spans="1:8" s="85" customFormat="1">
      <c r="A226" s="702"/>
      <c r="B226" s="691"/>
      <c r="C226" s="691"/>
      <c r="D226" s="691"/>
      <c r="E226" s="691"/>
      <c r="F226" s="691"/>
      <c r="G226" s="686"/>
    </row>
    <row r="227" spans="1:8" s="101" customFormat="1" ht="12.75">
      <c r="A227" s="703" t="s">
        <v>630</v>
      </c>
      <c r="B227" s="824" t="s">
        <v>623</v>
      </c>
      <c r="C227" s="824" t="s">
        <v>624</v>
      </c>
      <c r="D227" s="824" t="s">
        <v>625</v>
      </c>
      <c r="E227" s="824" t="s">
        <v>626</v>
      </c>
      <c r="F227" s="824" t="s">
        <v>627</v>
      </c>
      <c r="G227" s="790" t="s">
        <v>231</v>
      </c>
    </row>
    <row r="228" spans="1:8" s="101" customFormat="1" ht="12.75">
      <c r="A228" s="703" t="s">
        <v>160</v>
      </c>
      <c r="B228" s="24" t="s">
        <v>546</v>
      </c>
      <c r="C228" s="24" t="s">
        <v>546</v>
      </c>
      <c r="D228" s="24" t="s">
        <v>546</v>
      </c>
      <c r="E228" s="24" t="s">
        <v>546</v>
      </c>
      <c r="F228" s="24" t="s">
        <v>546</v>
      </c>
      <c r="G228" s="27" t="s">
        <v>791</v>
      </c>
    </row>
    <row r="229" spans="1:8" s="101" customFormat="1" ht="12.75">
      <c r="A229" s="703" t="s">
        <v>566</v>
      </c>
      <c r="B229" s="561"/>
      <c r="C229" s="561"/>
      <c r="D229" s="561"/>
      <c r="E229" s="561"/>
      <c r="F229" s="561"/>
      <c r="G229" s="693"/>
    </row>
    <row r="230" spans="1:8" s="101" customFormat="1" ht="12.75">
      <c r="A230" s="701" t="s">
        <v>567</v>
      </c>
      <c r="B230" s="24" t="s">
        <v>546</v>
      </c>
      <c r="C230" s="24" t="s">
        <v>546</v>
      </c>
      <c r="D230" s="24" t="s">
        <v>546</v>
      </c>
      <c r="E230" s="24" t="s">
        <v>546</v>
      </c>
      <c r="F230" s="24" t="s">
        <v>546</v>
      </c>
      <c r="G230" s="27" t="s">
        <v>791</v>
      </c>
    </row>
    <row r="231" spans="1:8" s="101" customFormat="1" ht="13.5" thickBot="1">
      <c r="A231" s="701" t="s">
        <v>568</v>
      </c>
      <c r="B231" s="24" t="s">
        <v>546</v>
      </c>
      <c r="C231" s="24" t="s">
        <v>546</v>
      </c>
      <c r="D231" s="24" t="s">
        <v>546</v>
      </c>
      <c r="E231" s="24" t="s">
        <v>546</v>
      </c>
      <c r="F231" s="24" t="s">
        <v>546</v>
      </c>
      <c r="G231" s="27" t="s">
        <v>791</v>
      </c>
    </row>
    <row r="232" spans="1:8" s="101" customFormat="1" ht="13.5" thickTop="1">
      <c r="A232" s="701" t="s">
        <v>569</v>
      </c>
      <c r="B232" s="694">
        <f t="shared" ref="B232:G232" si="22">B230+B231</f>
        <v>0</v>
      </c>
      <c r="C232" s="694">
        <f t="shared" si="22"/>
        <v>0</v>
      </c>
      <c r="D232" s="694">
        <f t="shared" si="22"/>
        <v>0</v>
      </c>
      <c r="E232" s="694">
        <f t="shared" si="22"/>
        <v>0</v>
      </c>
      <c r="F232" s="694">
        <f t="shared" si="22"/>
        <v>0</v>
      </c>
      <c r="G232" s="695">
        <f t="shared" si="22"/>
        <v>0</v>
      </c>
    </row>
    <row r="233" spans="1:8" s="101" customFormat="1" ht="12.75">
      <c r="A233" s="703" t="s">
        <v>570</v>
      </c>
      <c r="B233" s="561"/>
      <c r="C233" s="561"/>
      <c r="D233" s="561"/>
      <c r="E233" s="561"/>
      <c r="F233" s="561"/>
      <c r="G233" s="693"/>
    </row>
    <row r="234" spans="1:8" s="101" customFormat="1" ht="12.75">
      <c r="A234" s="116" t="s">
        <v>571</v>
      </c>
      <c r="B234" s="24" t="s">
        <v>546</v>
      </c>
      <c r="C234" s="24" t="s">
        <v>546</v>
      </c>
      <c r="D234" s="24" t="s">
        <v>546</v>
      </c>
      <c r="E234" s="24" t="s">
        <v>546</v>
      </c>
      <c r="F234" s="24" t="s">
        <v>546</v>
      </c>
      <c r="G234" s="27" t="s">
        <v>546</v>
      </c>
    </row>
    <row r="235" spans="1:8" s="101" customFormat="1" ht="12.75">
      <c r="A235" s="116" t="s">
        <v>572</v>
      </c>
      <c r="B235" s="24" t="s">
        <v>546</v>
      </c>
      <c r="C235" s="24" t="s">
        <v>546</v>
      </c>
      <c r="D235" s="24" t="s">
        <v>546</v>
      </c>
      <c r="E235" s="24" t="s">
        <v>546</v>
      </c>
      <c r="F235" s="24" t="s">
        <v>546</v>
      </c>
      <c r="G235" s="27" t="s">
        <v>546</v>
      </c>
    </row>
    <row r="236" spans="1:8" s="101" customFormat="1" ht="12.75">
      <c r="A236" s="116" t="s">
        <v>573</v>
      </c>
      <c r="B236" s="24" t="s">
        <v>546</v>
      </c>
      <c r="C236" s="24" t="s">
        <v>546</v>
      </c>
      <c r="D236" s="24" t="s">
        <v>546</v>
      </c>
      <c r="E236" s="24" t="s">
        <v>546</v>
      </c>
      <c r="F236" s="24" t="s">
        <v>546</v>
      </c>
      <c r="G236" s="27" t="s">
        <v>546</v>
      </c>
    </row>
    <row r="237" spans="1:8" s="101" customFormat="1" ht="12.75">
      <c r="A237" s="116" t="s">
        <v>574</v>
      </c>
      <c r="B237" s="24" t="s">
        <v>546</v>
      </c>
      <c r="C237" s="24" t="s">
        <v>546</v>
      </c>
      <c r="D237" s="24" t="s">
        <v>546</v>
      </c>
      <c r="E237" s="24" t="s">
        <v>546</v>
      </c>
      <c r="F237" s="24" t="s">
        <v>546</v>
      </c>
      <c r="G237" s="27" t="s">
        <v>546</v>
      </c>
    </row>
    <row r="238" spans="1:8" s="101" customFormat="1" ht="12.75">
      <c r="A238" s="116" t="s">
        <v>575</v>
      </c>
      <c r="B238" s="24" t="s">
        <v>546</v>
      </c>
      <c r="C238" s="24" t="s">
        <v>546</v>
      </c>
      <c r="D238" s="24" t="s">
        <v>546</v>
      </c>
      <c r="E238" s="24" t="s">
        <v>546</v>
      </c>
      <c r="F238" s="24" t="s">
        <v>546</v>
      </c>
      <c r="G238" s="27" t="s">
        <v>546</v>
      </c>
    </row>
    <row r="239" spans="1:8" s="101" customFormat="1" ht="12.75">
      <c r="A239" s="116" t="s">
        <v>576</v>
      </c>
      <c r="B239" s="24" t="s">
        <v>546</v>
      </c>
      <c r="C239" s="24" t="s">
        <v>546</v>
      </c>
      <c r="D239" s="24" t="s">
        <v>546</v>
      </c>
      <c r="E239" s="24" t="s">
        <v>546</v>
      </c>
      <c r="F239" s="24" t="s">
        <v>546</v>
      </c>
      <c r="G239" s="27" t="s">
        <v>546</v>
      </c>
    </row>
    <row r="240" spans="1:8" s="101" customFormat="1" ht="12.75">
      <c r="A240" s="116" t="s">
        <v>577</v>
      </c>
      <c r="B240" s="24" t="s">
        <v>546</v>
      </c>
      <c r="C240" s="24" t="s">
        <v>546</v>
      </c>
      <c r="D240" s="24" t="s">
        <v>546</v>
      </c>
      <c r="E240" s="24" t="s">
        <v>546</v>
      </c>
      <c r="F240" s="24" t="s">
        <v>546</v>
      </c>
      <c r="G240" s="27" t="s">
        <v>546</v>
      </c>
    </row>
    <row r="241" spans="1:7" s="101" customFormat="1" ht="12.75">
      <c r="A241" s="116" t="s">
        <v>584</v>
      </c>
      <c r="B241" s="24" t="s">
        <v>546</v>
      </c>
      <c r="C241" s="24" t="s">
        <v>546</v>
      </c>
      <c r="D241" s="24" t="s">
        <v>546</v>
      </c>
      <c r="E241" s="24" t="s">
        <v>546</v>
      </c>
      <c r="F241" s="24" t="s">
        <v>546</v>
      </c>
      <c r="G241" s="27" t="s">
        <v>546</v>
      </c>
    </row>
    <row r="242" spans="1:7" s="101" customFormat="1" ht="12.75">
      <c r="A242" s="116" t="s">
        <v>585</v>
      </c>
      <c r="B242" s="24" t="s">
        <v>546</v>
      </c>
      <c r="C242" s="24" t="s">
        <v>546</v>
      </c>
      <c r="D242" s="24" t="s">
        <v>546</v>
      </c>
      <c r="E242" s="24" t="s">
        <v>546</v>
      </c>
      <c r="F242" s="24" t="s">
        <v>546</v>
      </c>
      <c r="G242" s="27" t="s">
        <v>546</v>
      </c>
    </row>
    <row r="243" spans="1:7" s="101" customFormat="1" ht="12.75">
      <c r="A243" s="116" t="s">
        <v>586</v>
      </c>
      <c r="B243" s="24" t="s">
        <v>546</v>
      </c>
      <c r="C243" s="24" t="s">
        <v>546</v>
      </c>
      <c r="D243" s="24" t="s">
        <v>546</v>
      </c>
      <c r="E243" s="24" t="s">
        <v>546</v>
      </c>
      <c r="F243" s="24" t="s">
        <v>546</v>
      </c>
      <c r="G243" s="27" t="s">
        <v>546</v>
      </c>
    </row>
    <row r="244" spans="1:7" s="101" customFormat="1" ht="12.75">
      <c r="A244" s="116" t="s">
        <v>587</v>
      </c>
      <c r="B244" s="24" t="s">
        <v>546</v>
      </c>
      <c r="C244" s="24" t="s">
        <v>546</v>
      </c>
      <c r="D244" s="24" t="s">
        <v>546</v>
      </c>
      <c r="E244" s="24" t="s">
        <v>546</v>
      </c>
      <c r="F244" s="24" t="s">
        <v>546</v>
      </c>
      <c r="G244" s="27" t="s">
        <v>546</v>
      </c>
    </row>
    <row r="245" spans="1:7" s="101" customFormat="1" ht="12.75">
      <c r="A245" s="116" t="s">
        <v>588</v>
      </c>
      <c r="B245" s="24" t="s">
        <v>546</v>
      </c>
      <c r="C245" s="24" t="s">
        <v>546</v>
      </c>
      <c r="D245" s="24" t="s">
        <v>546</v>
      </c>
      <c r="E245" s="24" t="s">
        <v>546</v>
      </c>
      <c r="F245" s="24" t="s">
        <v>546</v>
      </c>
      <c r="G245" s="27" t="s">
        <v>546</v>
      </c>
    </row>
    <row r="246" spans="1:7" s="101" customFormat="1" ht="12.75">
      <c r="A246" s="116" t="s">
        <v>589</v>
      </c>
      <c r="B246" s="24" t="s">
        <v>546</v>
      </c>
      <c r="C246" s="24" t="s">
        <v>546</v>
      </c>
      <c r="D246" s="24" t="s">
        <v>546</v>
      </c>
      <c r="E246" s="24" t="s">
        <v>546</v>
      </c>
      <c r="F246" s="24" t="s">
        <v>546</v>
      </c>
      <c r="G246" s="27" t="s">
        <v>546</v>
      </c>
    </row>
    <row r="247" spans="1:7" s="101" customFormat="1" ht="12.75">
      <c r="A247" s="116" t="s">
        <v>590</v>
      </c>
      <c r="B247" s="24" t="s">
        <v>546</v>
      </c>
      <c r="C247" s="24" t="s">
        <v>546</v>
      </c>
      <c r="D247" s="24" t="s">
        <v>546</v>
      </c>
      <c r="E247" s="24" t="s">
        <v>546</v>
      </c>
      <c r="F247" s="24" t="s">
        <v>546</v>
      </c>
      <c r="G247" s="27" t="s">
        <v>546</v>
      </c>
    </row>
    <row r="248" spans="1:7" s="101" customFormat="1" ht="12.75">
      <c r="A248" s="116" t="s">
        <v>591</v>
      </c>
      <c r="B248" s="24" t="s">
        <v>546</v>
      </c>
      <c r="C248" s="24" t="s">
        <v>546</v>
      </c>
      <c r="D248" s="24" t="s">
        <v>546</v>
      </c>
      <c r="E248" s="24" t="s">
        <v>546</v>
      </c>
      <c r="F248" s="24" t="s">
        <v>546</v>
      </c>
      <c r="G248" s="27" t="s">
        <v>546</v>
      </c>
    </row>
    <row r="249" spans="1:7" s="101" customFormat="1" ht="12.75">
      <c r="A249" s="116" t="s">
        <v>592</v>
      </c>
      <c r="B249" s="24" t="s">
        <v>546</v>
      </c>
      <c r="C249" s="24" t="s">
        <v>546</v>
      </c>
      <c r="D249" s="24" t="s">
        <v>546</v>
      </c>
      <c r="E249" s="24" t="s">
        <v>546</v>
      </c>
      <c r="F249" s="24" t="s">
        <v>546</v>
      </c>
      <c r="G249" s="27" t="s">
        <v>546</v>
      </c>
    </row>
    <row r="250" spans="1:7" s="101" customFormat="1" ht="12.75">
      <c r="A250" s="116" t="s">
        <v>593</v>
      </c>
      <c r="B250" s="24" t="s">
        <v>546</v>
      </c>
      <c r="C250" s="24" t="s">
        <v>546</v>
      </c>
      <c r="D250" s="24" t="s">
        <v>546</v>
      </c>
      <c r="E250" s="24" t="s">
        <v>546</v>
      </c>
      <c r="F250" s="24" t="s">
        <v>546</v>
      </c>
      <c r="G250" s="27" t="s">
        <v>546</v>
      </c>
    </row>
    <row r="251" spans="1:7" s="101" customFormat="1" ht="12.75">
      <c r="A251" s="116" t="s">
        <v>594</v>
      </c>
      <c r="B251" s="24" t="s">
        <v>546</v>
      </c>
      <c r="C251" s="24" t="s">
        <v>546</v>
      </c>
      <c r="D251" s="24" t="s">
        <v>546</v>
      </c>
      <c r="E251" s="24" t="s">
        <v>546</v>
      </c>
      <c r="F251" s="24" t="s">
        <v>546</v>
      </c>
      <c r="G251" s="27" t="s">
        <v>546</v>
      </c>
    </row>
    <row r="252" spans="1:7" s="101" customFormat="1" ht="12.75">
      <c r="A252" s="116" t="str">
        <f>A51</f>
        <v xml:space="preserve">  Other</v>
      </c>
      <c r="B252" s="24" t="s">
        <v>546</v>
      </c>
      <c r="C252" s="24" t="s">
        <v>546</v>
      </c>
      <c r="D252" s="24" t="s">
        <v>546</v>
      </c>
      <c r="E252" s="24" t="s">
        <v>546</v>
      </c>
      <c r="F252" s="24" t="s">
        <v>546</v>
      </c>
      <c r="G252" s="27" t="s">
        <v>546</v>
      </c>
    </row>
    <row r="253" spans="1:7" s="101" customFormat="1" ht="12.75">
      <c r="A253" s="116" t="str">
        <f>A52</f>
        <v xml:space="preserve">  Other</v>
      </c>
      <c r="B253" s="24" t="s">
        <v>546</v>
      </c>
      <c r="C253" s="24" t="s">
        <v>546</v>
      </c>
      <c r="D253" s="24" t="s">
        <v>546</v>
      </c>
      <c r="E253" s="24" t="s">
        <v>546</v>
      </c>
      <c r="F253" s="24" t="s">
        <v>546</v>
      </c>
      <c r="G253" s="27" t="s">
        <v>546</v>
      </c>
    </row>
    <row r="254" spans="1:7" s="101" customFormat="1" ht="12.75">
      <c r="A254" s="116" t="s">
        <v>595</v>
      </c>
      <c r="B254" s="24" t="s">
        <v>546</v>
      </c>
      <c r="C254" s="24" t="s">
        <v>546</v>
      </c>
      <c r="D254" s="24" t="s">
        <v>546</v>
      </c>
      <c r="E254" s="24" t="s">
        <v>546</v>
      </c>
      <c r="F254" s="24" t="s">
        <v>546</v>
      </c>
      <c r="G254" s="27" t="s">
        <v>546</v>
      </c>
    </row>
    <row r="255" spans="1:7" s="101" customFormat="1" ht="12.75">
      <c r="A255" s="116" t="s">
        <v>596</v>
      </c>
      <c r="B255" s="24" t="s">
        <v>546</v>
      </c>
      <c r="C255" s="24" t="s">
        <v>546</v>
      </c>
      <c r="D255" s="24" t="s">
        <v>546</v>
      </c>
      <c r="E255" s="24" t="s">
        <v>546</v>
      </c>
      <c r="F255" s="24" t="s">
        <v>546</v>
      </c>
      <c r="G255" s="27" t="s">
        <v>546</v>
      </c>
    </row>
    <row r="256" spans="1:7" s="101" customFormat="1" ht="12.75">
      <c r="A256" s="116" t="s">
        <v>597</v>
      </c>
      <c r="B256" s="24" t="s">
        <v>546</v>
      </c>
      <c r="C256" s="24" t="s">
        <v>546</v>
      </c>
      <c r="D256" s="24" t="s">
        <v>546</v>
      </c>
      <c r="E256" s="24" t="s">
        <v>546</v>
      </c>
      <c r="F256" s="24" t="s">
        <v>546</v>
      </c>
      <c r="G256" s="27" t="s">
        <v>546</v>
      </c>
    </row>
    <row r="257" spans="1:7" s="101" customFormat="1" ht="13.5" thickBot="1">
      <c r="A257" s="116" t="s">
        <v>598</v>
      </c>
      <c r="B257" s="24" t="s">
        <v>546</v>
      </c>
      <c r="C257" s="24" t="s">
        <v>546</v>
      </c>
      <c r="D257" s="24" t="s">
        <v>546</v>
      </c>
      <c r="E257" s="24" t="s">
        <v>546</v>
      </c>
      <c r="F257" s="24" t="s">
        <v>546</v>
      </c>
      <c r="G257" s="826" t="s">
        <v>546</v>
      </c>
    </row>
    <row r="258" spans="1:7" s="101" customFormat="1" ht="14.25" thickTop="1" thickBot="1">
      <c r="A258" s="701" t="s">
        <v>613</v>
      </c>
      <c r="B258" s="694">
        <f t="shared" ref="B258:G258" si="23">SUM(B234:B257)</f>
        <v>0</v>
      </c>
      <c r="C258" s="694">
        <f t="shared" si="23"/>
        <v>0</v>
      </c>
      <c r="D258" s="694">
        <f t="shared" si="23"/>
        <v>0</v>
      </c>
      <c r="E258" s="694">
        <f t="shared" si="23"/>
        <v>0</v>
      </c>
      <c r="F258" s="694">
        <f t="shared" si="23"/>
        <v>0</v>
      </c>
      <c r="G258" s="689">
        <f t="shared" si="23"/>
        <v>0</v>
      </c>
    </row>
    <row r="259" spans="1:7" s="101" customFormat="1" ht="13.5" thickTop="1">
      <c r="A259" s="703" t="s">
        <v>614</v>
      </c>
      <c r="B259" s="694">
        <f t="shared" ref="B259:G259" si="24">B228+B232+B258</f>
        <v>0</v>
      </c>
      <c r="C259" s="694">
        <f t="shared" si="24"/>
        <v>0</v>
      </c>
      <c r="D259" s="694">
        <f t="shared" si="24"/>
        <v>0</v>
      </c>
      <c r="E259" s="694">
        <f t="shared" si="24"/>
        <v>0</v>
      </c>
      <c r="F259" s="694">
        <f t="shared" si="24"/>
        <v>0</v>
      </c>
      <c r="G259" s="695">
        <f t="shared" si="24"/>
        <v>0</v>
      </c>
    </row>
    <row r="260" spans="1:7" s="101" customFormat="1" ht="12.75">
      <c r="A260" s="687" t="s">
        <v>601</v>
      </c>
      <c r="B260" s="560">
        <f>G193+B259</f>
        <v>0</v>
      </c>
      <c r="C260" s="560">
        <f>B260+C259</f>
        <v>0</v>
      </c>
      <c r="D260" s="560">
        <f>C260+D259</f>
        <v>0</v>
      </c>
      <c r="E260" s="560">
        <f>D260+E259</f>
        <v>0</v>
      </c>
      <c r="F260" s="560">
        <f>E260+F259</f>
        <v>0</v>
      </c>
      <c r="G260" s="696">
        <f>F260+G259</f>
        <v>0</v>
      </c>
    </row>
    <row r="261" spans="1:7" s="85" customFormat="1">
      <c r="A261" s="697"/>
      <c r="B261" s="691"/>
      <c r="C261" s="691"/>
      <c r="D261" s="691"/>
      <c r="E261" s="691"/>
      <c r="F261" s="691"/>
      <c r="G261" s="692"/>
    </row>
    <row r="262" spans="1:7" s="101" customFormat="1" ht="12.75">
      <c r="A262" s="687" t="s">
        <v>615</v>
      </c>
      <c r="B262" s="186">
        <f t="shared" ref="B262:G262" si="25">B259/($B$58+0.0000001)</f>
        <v>0</v>
      </c>
      <c r="C262" s="186">
        <f t="shared" si="25"/>
        <v>0</v>
      </c>
      <c r="D262" s="186">
        <f t="shared" si="25"/>
        <v>0</v>
      </c>
      <c r="E262" s="186">
        <f t="shared" si="25"/>
        <v>0</v>
      </c>
      <c r="F262" s="186">
        <f t="shared" si="25"/>
        <v>0</v>
      </c>
      <c r="G262" s="698">
        <f t="shared" si="25"/>
        <v>0</v>
      </c>
    </row>
    <row r="263" spans="1:7" s="85" customFormat="1">
      <c r="A263" s="697"/>
      <c r="B263" s="691"/>
      <c r="C263" s="691"/>
      <c r="D263" s="691"/>
      <c r="E263" s="691"/>
      <c r="F263" s="691"/>
      <c r="G263" s="692"/>
    </row>
    <row r="264" spans="1:7" s="101" customFormat="1" ht="12.75">
      <c r="A264" s="116" t="s">
        <v>603</v>
      </c>
      <c r="B264" s="560">
        <f>G197+B211-B220</f>
        <v>0</v>
      </c>
      <c r="C264" s="560">
        <f>B264+C211-C220</f>
        <v>0</v>
      </c>
      <c r="D264" s="560">
        <f>C264+D211-D220</f>
        <v>0</v>
      </c>
      <c r="E264" s="560">
        <f>D264+E211-E220</f>
        <v>0</v>
      </c>
      <c r="F264" s="560">
        <f>E264+F211-F220</f>
        <v>0</v>
      </c>
      <c r="G264" s="696">
        <f>F264+G211-G220</f>
        <v>0</v>
      </c>
    </row>
    <row r="265" spans="1:7" s="101" customFormat="1" ht="12.75">
      <c r="A265" s="116" t="s">
        <v>604</v>
      </c>
      <c r="B265" s="560">
        <f>G198+B217-B221</f>
        <v>0</v>
      </c>
      <c r="C265" s="560">
        <f t="shared" ref="C265:G266" si="26">B265+C217-C221</f>
        <v>0</v>
      </c>
      <c r="D265" s="560">
        <f t="shared" si="26"/>
        <v>0</v>
      </c>
      <c r="E265" s="560">
        <f t="shared" si="26"/>
        <v>0</v>
      </c>
      <c r="F265" s="560">
        <f t="shared" si="26"/>
        <v>0</v>
      </c>
      <c r="G265" s="696">
        <f t="shared" si="26"/>
        <v>0</v>
      </c>
    </row>
    <row r="266" spans="1:7" s="101" customFormat="1" ht="12.75">
      <c r="A266" s="116" t="s">
        <v>605</v>
      </c>
      <c r="B266" s="560">
        <f>G199+B218-B222</f>
        <v>0</v>
      </c>
      <c r="C266" s="560">
        <f t="shared" si="26"/>
        <v>0</v>
      </c>
      <c r="D266" s="560">
        <f t="shared" si="26"/>
        <v>0</v>
      </c>
      <c r="E266" s="560">
        <f t="shared" si="26"/>
        <v>0</v>
      </c>
      <c r="F266" s="560">
        <f t="shared" si="26"/>
        <v>0</v>
      </c>
      <c r="G266" s="696">
        <f t="shared" si="26"/>
        <v>0</v>
      </c>
    </row>
    <row r="267" spans="1:7" s="85" customFormat="1" ht="12" thickBot="1">
      <c r="A267" s="705"/>
      <c r="B267" s="30"/>
      <c r="C267" s="30"/>
      <c r="D267" s="30"/>
      <c r="E267" s="30"/>
      <c r="F267" s="30"/>
      <c r="G267" s="708"/>
    </row>
    <row r="268" spans="1:7" ht="14.25">
      <c r="A268" s="359">
        <f>PROJNAME</f>
        <v>0</v>
      </c>
      <c r="B268" s="359"/>
      <c r="C268" s="359"/>
      <c r="D268" s="830" t="e">
        <f>'1. Description'!$G$59</f>
        <v>#VALUE!</v>
      </c>
      <c r="E268" s="84"/>
      <c r="F268" s="829" t="e">
        <f>'1. Description'!$H$59</f>
        <v>#VALUE!</v>
      </c>
      <c r="G268" s="84"/>
    </row>
    <row r="269" spans="1:7">
      <c r="A269" s="677" t="str">
        <f>A135</f>
        <v>One Stop2000 Affordable Housing Finance Application [Version 1.21] ©</v>
      </c>
      <c r="B269" s="677"/>
      <c r="C269" s="677"/>
      <c r="D269" s="677"/>
      <c r="E269" s="677"/>
      <c r="F269" s="677"/>
      <c r="G269" s="677"/>
    </row>
    <row r="270" spans="1:7" ht="15.75">
      <c r="A270" s="679" t="s">
        <v>534</v>
      </c>
      <c r="B270" s="679"/>
      <c r="C270" s="679"/>
      <c r="D270" s="679"/>
      <c r="E270" s="679"/>
      <c r="F270" s="679"/>
      <c r="G270" s="706"/>
    </row>
    <row r="271" spans="1:7" ht="15.75">
      <c r="A271" s="680" t="s">
        <v>535</v>
      </c>
      <c r="B271" s="680"/>
      <c r="C271" s="680"/>
      <c r="D271" s="680"/>
      <c r="E271" s="680"/>
      <c r="F271" s="680"/>
      <c r="G271" s="706"/>
    </row>
    <row r="272" spans="1:7" ht="12" thickBot="1">
      <c r="A272" s="681" t="s">
        <v>782</v>
      </c>
      <c r="B272" s="681"/>
      <c r="C272" s="681"/>
      <c r="D272" s="681"/>
      <c r="E272" s="681"/>
      <c r="F272" s="681"/>
      <c r="G272" s="681"/>
    </row>
    <row r="273" spans="1:7">
      <c r="A273" s="682"/>
      <c r="B273" s="683"/>
      <c r="C273" s="683"/>
      <c r="D273" s="683"/>
      <c r="E273" s="683"/>
      <c r="F273" s="683"/>
      <c r="G273" s="684"/>
    </row>
    <row r="274" spans="1:7">
      <c r="A274" s="685" t="s">
        <v>536</v>
      </c>
      <c r="B274" s="119"/>
      <c r="C274" s="119"/>
      <c r="D274" s="119"/>
      <c r="E274" s="119"/>
      <c r="F274" s="119"/>
      <c r="G274" s="686"/>
    </row>
    <row r="275" spans="1:7">
      <c r="A275" s="685" t="s">
        <v>537</v>
      </c>
      <c r="B275" s="119"/>
      <c r="C275" s="119"/>
      <c r="D275" s="119"/>
      <c r="E275" s="119"/>
      <c r="F275" s="119"/>
      <c r="G275" s="686"/>
    </row>
    <row r="276" spans="1:7">
      <c r="A276" s="685"/>
      <c r="B276" s="119"/>
      <c r="C276" s="119"/>
      <c r="D276" s="119"/>
      <c r="E276" s="119"/>
      <c r="F276" s="119"/>
      <c r="G276" s="686"/>
    </row>
    <row r="277" spans="1:7" ht="12.75">
      <c r="A277" s="687" t="s">
        <v>538</v>
      </c>
      <c r="B277" s="210" t="s">
        <v>1090</v>
      </c>
      <c r="C277" s="210" t="s">
        <v>1091</v>
      </c>
      <c r="D277" s="210" t="s">
        <v>1092</v>
      </c>
      <c r="E277" s="210" t="s">
        <v>1093</v>
      </c>
      <c r="F277" s="210" t="s">
        <v>1094</v>
      </c>
      <c r="G277" s="790" t="s">
        <v>1095</v>
      </c>
    </row>
    <row r="278" spans="1:7" ht="12.75">
      <c r="A278" s="701" t="s">
        <v>545</v>
      </c>
      <c r="B278" s="24"/>
      <c r="C278" s="24"/>
      <c r="D278" s="24"/>
      <c r="E278" s="24"/>
      <c r="F278" s="24"/>
      <c r="G278" s="27"/>
    </row>
    <row r="279" spans="1:7" ht="12.75">
      <c r="A279" s="701" t="s">
        <v>547</v>
      </c>
      <c r="B279" s="24"/>
      <c r="C279" s="24"/>
      <c r="D279" s="24"/>
      <c r="E279" s="24"/>
      <c r="F279" s="24"/>
      <c r="G279" s="27"/>
    </row>
    <row r="280" spans="1:7" ht="12.75">
      <c r="A280" s="701" t="s">
        <v>548</v>
      </c>
      <c r="B280" s="24"/>
      <c r="C280" s="24"/>
      <c r="D280" s="24"/>
      <c r="E280" s="24"/>
      <c r="F280" s="24"/>
      <c r="G280" s="27"/>
    </row>
    <row r="281" spans="1:7" ht="12.75">
      <c r="A281" s="701" t="s">
        <v>612</v>
      </c>
      <c r="B281" s="24"/>
      <c r="C281" s="24"/>
      <c r="D281" s="24"/>
      <c r="E281" s="24"/>
      <c r="F281" s="24"/>
      <c r="G281" s="27"/>
    </row>
    <row r="282" spans="1:7" ht="12.75">
      <c r="A282" s="116" t="s">
        <v>550</v>
      </c>
      <c r="B282" s="24"/>
      <c r="C282" s="24"/>
      <c r="D282" s="24"/>
      <c r="E282" s="24"/>
      <c r="F282" s="24"/>
      <c r="G282" s="27"/>
    </row>
    <row r="283" spans="1:7" ht="12.75">
      <c r="A283" s="116" t="s">
        <v>551</v>
      </c>
      <c r="B283" s="24"/>
      <c r="C283" s="24"/>
      <c r="D283" s="24"/>
      <c r="E283" s="24"/>
      <c r="F283" s="24"/>
      <c r="G283" s="27"/>
    </row>
    <row r="284" spans="1:7" ht="12.75">
      <c r="A284" s="116" t="s">
        <v>555</v>
      </c>
      <c r="B284" s="24"/>
      <c r="C284" s="24"/>
      <c r="D284" s="24"/>
      <c r="E284" s="24"/>
      <c r="F284" s="24"/>
      <c r="G284" s="27"/>
    </row>
    <row r="285" spans="1:7" ht="13.5" thickBot="1">
      <c r="A285" s="116" t="s">
        <v>556</v>
      </c>
      <c r="B285" s="24"/>
      <c r="C285" s="24"/>
      <c r="D285" s="24"/>
      <c r="E285" s="24"/>
      <c r="F285" s="24"/>
      <c r="G285" s="27"/>
    </row>
    <row r="286" spans="1:7" ht="14.25" thickTop="1" thickBot="1">
      <c r="A286" s="687" t="s">
        <v>557</v>
      </c>
      <c r="B286" s="694">
        <f t="shared" ref="B286:G286" si="27">SUM(B278:B285)</f>
        <v>0</v>
      </c>
      <c r="C286" s="694">
        <f t="shared" si="27"/>
        <v>0</v>
      </c>
      <c r="D286" s="694">
        <f t="shared" si="27"/>
        <v>0</v>
      </c>
      <c r="E286" s="694">
        <f t="shared" si="27"/>
        <v>0</v>
      </c>
      <c r="F286" s="694">
        <f t="shared" si="27"/>
        <v>0</v>
      </c>
      <c r="G286" s="695">
        <f t="shared" si="27"/>
        <v>0</v>
      </c>
    </row>
    <row r="287" spans="1:7" ht="13.5" thickTop="1">
      <c r="A287" s="116" t="s">
        <v>558</v>
      </c>
      <c r="B287" s="32"/>
      <c r="C287" s="32"/>
      <c r="D287" s="32"/>
      <c r="E287" s="32"/>
      <c r="F287" s="32"/>
      <c r="G287" s="33"/>
    </row>
    <row r="288" spans="1:7" ht="12.75">
      <c r="A288" s="116" t="s">
        <v>560</v>
      </c>
      <c r="B288" s="24"/>
      <c r="C288" s="24"/>
      <c r="D288" s="24"/>
      <c r="E288" s="24"/>
      <c r="F288" s="24"/>
      <c r="G288" s="27"/>
    </row>
    <row r="289" spans="1:7" ht="13.5" thickBot="1">
      <c r="A289" s="116" t="s">
        <v>561</v>
      </c>
      <c r="B289" s="24"/>
      <c r="C289" s="24"/>
      <c r="D289" s="24"/>
      <c r="E289" s="24"/>
      <c r="F289" s="24"/>
      <c r="G289" s="27"/>
    </row>
    <row r="290" spans="1:7" ht="13.5" thickTop="1">
      <c r="A290" s="687" t="s">
        <v>562</v>
      </c>
      <c r="B290" s="694">
        <f t="shared" ref="B290:G290" si="28">B286-SUM(B287:B289)</f>
        <v>0</v>
      </c>
      <c r="C290" s="694">
        <f t="shared" si="28"/>
        <v>0</v>
      </c>
      <c r="D290" s="694">
        <f t="shared" si="28"/>
        <v>0</v>
      </c>
      <c r="E290" s="694">
        <f t="shared" si="28"/>
        <v>0</v>
      </c>
      <c r="F290" s="694">
        <f t="shared" si="28"/>
        <v>0</v>
      </c>
      <c r="G290" s="695">
        <f t="shared" si="28"/>
        <v>0</v>
      </c>
    </row>
    <row r="291" spans="1:7" ht="12.75">
      <c r="A291" s="687" t="s">
        <v>563</v>
      </c>
      <c r="B291" s="560">
        <f>G224+B290</f>
        <v>0</v>
      </c>
      <c r="C291" s="560">
        <f>B291+C290</f>
        <v>0</v>
      </c>
      <c r="D291" s="560">
        <f>C291+D290</f>
        <v>0</v>
      </c>
      <c r="E291" s="560">
        <f>D291+E290</f>
        <v>0</v>
      </c>
      <c r="F291" s="560">
        <f>E291+F290</f>
        <v>0</v>
      </c>
      <c r="G291" s="696">
        <f>F291+G290</f>
        <v>0</v>
      </c>
    </row>
    <row r="292" spans="1:7">
      <c r="A292" s="702"/>
      <c r="B292" s="80" t="s">
        <v>564</v>
      </c>
      <c r="C292" s="691"/>
      <c r="D292" s="691"/>
      <c r="E292" s="691"/>
      <c r="F292" s="691"/>
      <c r="G292" s="692"/>
    </row>
    <row r="293" spans="1:7">
      <c r="A293" s="702"/>
      <c r="B293" s="691"/>
      <c r="C293" s="691"/>
      <c r="D293" s="691"/>
      <c r="E293" s="691"/>
      <c r="F293" s="691"/>
      <c r="G293" s="692"/>
    </row>
    <row r="294" spans="1:7" ht="12.75">
      <c r="A294" s="703" t="s">
        <v>565</v>
      </c>
      <c r="B294" s="210" t="s">
        <v>1090</v>
      </c>
      <c r="C294" s="210" t="s">
        <v>1091</v>
      </c>
      <c r="D294" s="210" t="s">
        <v>1092</v>
      </c>
      <c r="E294" s="210" t="s">
        <v>1093</v>
      </c>
      <c r="F294" s="210" t="s">
        <v>1094</v>
      </c>
      <c r="G294" s="790" t="s">
        <v>1095</v>
      </c>
    </row>
    <row r="295" spans="1:7" ht="12.75">
      <c r="A295" s="703" t="s">
        <v>160</v>
      </c>
      <c r="B295" s="24"/>
      <c r="C295" s="24"/>
      <c r="D295" s="24"/>
      <c r="E295" s="24"/>
      <c r="F295" s="24"/>
      <c r="G295" s="27"/>
    </row>
    <row r="296" spans="1:7" ht="12.75">
      <c r="A296" s="703" t="s">
        <v>566</v>
      </c>
      <c r="B296" s="561"/>
      <c r="C296" s="561"/>
      <c r="D296" s="561"/>
      <c r="E296" s="561"/>
      <c r="F296" s="561"/>
      <c r="G296" s="693"/>
    </row>
    <row r="297" spans="1:7" ht="12.75">
      <c r="A297" s="701" t="s">
        <v>567</v>
      </c>
      <c r="B297" s="24"/>
      <c r="C297" s="24"/>
      <c r="D297" s="24"/>
      <c r="E297" s="24"/>
      <c r="F297" s="24"/>
      <c r="G297" s="27"/>
    </row>
    <row r="298" spans="1:7" ht="13.5" thickBot="1">
      <c r="A298" s="701" t="s">
        <v>568</v>
      </c>
      <c r="B298" s="24"/>
      <c r="C298" s="24"/>
      <c r="D298" s="24"/>
      <c r="E298" s="24"/>
      <c r="F298" s="24"/>
      <c r="G298" s="27"/>
    </row>
    <row r="299" spans="1:7" ht="13.5" thickTop="1">
      <c r="A299" s="701" t="s">
        <v>569</v>
      </c>
      <c r="B299" s="694">
        <f t="shared" ref="B299:G299" si="29">B297+B298</f>
        <v>0</v>
      </c>
      <c r="C299" s="694">
        <f t="shared" si="29"/>
        <v>0</v>
      </c>
      <c r="D299" s="694">
        <f t="shared" si="29"/>
        <v>0</v>
      </c>
      <c r="E299" s="694">
        <f t="shared" si="29"/>
        <v>0</v>
      </c>
      <c r="F299" s="694">
        <f t="shared" si="29"/>
        <v>0</v>
      </c>
      <c r="G299" s="695">
        <f t="shared" si="29"/>
        <v>0</v>
      </c>
    </row>
    <row r="300" spans="1:7" ht="12.75">
      <c r="A300" s="703" t="s">
        <v>570</v>
      </c>
      <c r="B300" s="561"/>
      <c r="C300" s="561"/>
      <c r="D300" s="561"/>
      <c r="E300" s="561"/>
      <c r="F300" s="561"/>
      <c r="G300" s="693"/>
    </row>
    <row r="301" spans="1:7" ht="12.75">
      <c r="A301" s="116" t="s">
        <v>571</v>
      </c>
      <c r="B301" s="24"/>
      <c r="C301" s="24"/>
      <c r="D301" s="24"/>
      <c r="E301" s="24"/>
      <c r="F301" s="24"/>
      <c r="G301" s="27"/>
    </row>
    <row r="302" spans="1:7" ht="12.75">
      <c r="A302" s="116" t="s">
        <v>572</v>
      </c>
      <c r="B302" s="24"/>
      <c r="C302" s="24"/>
      <c r="D302" s="24"/>
      <c r="E302" s="24"/>
      <c r="F302" s="24"/>
      <c r="G302" s="27"/>
    </row>
    <row r="303" spans="1:7" ht="12.75">
      <c r="A303" s="116" t="s">
        <v>573</v>
      </c>
      <c r="B303" s="24"/>
      <c r="C303" s="24"/>
      <c r="D303" s="24"/>
      <c r="E303" s="24"/>
      <c r="F303" s="24"/>
      <c r="G303" s="27"/>
    </row>
    <row r="304" spans="1:7" ht="12.75">
      <c r="A304" s="116" t="s">
        <v>574</v>
      </c>
      <c r="B304" s="24"/>
      <c r="C304" s="24"/>
      <c r="D304" s="24"/>
      <c r="E304" s="24"/>
      <c r="F304" s="24"/>
      <c r="G304" s="27"/>
    </row>
    <row r="305" spans="1:7" ht="12.75">
      <c r="A305" s="116" t="s">
        <v>575</v>
      </c>
      <c r="B305" s="24"/>
      <c r="C305" s="24"/>
      <c r="D305" s="24"/>
      <c r="E305" s="24"/>
      <c r="F305" s="24"/>
      <c r="G305" s="27"/>
    </row>
    <row r="306" spans="1:7" ht="12.75">
      <c r="A306" s="116" t="s">
        <v>576</v>
      </c>
      <c r="B306" s="24"/>
      <c r="C306" s="24"/>
      <c r="D306" s="24"/>
      <c r="E306" s="24"/>
      <c r="F306" s="24"/>
      <c r="G306" s="27"/>
    </row>
    <row r="307" spans="1:7" ht="12.75">
      <c r="A307" s="116" t="s">
        <v>577</v>
      </c>
      <c r="B307" s="24"/>
      <c r="C307" s="24"/>
      <c r="D307" s="24"/>
      <c r="E307" s="24"/>
      <c r="F307" s="24"/>
      <c r="G307" s="27"/>
    </row>
    <row r="308" spans="1:7" ht="12.75">
      <c r="A308" s="116" t="s">
        <v>584</v>
      </c>
      <c r="B308" s="24"/>
      <c r="C308" s="24"/>
      <c r="D308" s="24"/>
      <c r="E308" s="24"/>
      <c r="F308" s="24"/>
      <c r="G308" s="27"/>
    </row>
    <row r="309" spans="1:7" ht="12.75">
      <c r="A309" s="116" t="s">
        <v>585</v>
      </c>
      <c r="B309" s="24"/>
      <c r="C309" s="24"/>
      <c r="D309" s="24"/>
      <c r="E309" s="24"/>
      <c r="F309" s="24"/>
      <c r="G309" s="27"/>
    </row>
    <row r="310" spans="1:7" ht="12.75">
      <c r="A310" s="116" t="s">
        <v>586</v>
      </c>
      <c r="B310" s="24"/>
      <c r="C310" s="24"/>
      <c r="D310" s="24"/>
      <c r="E310" s="24"/>
      <c r="F310" s="24"/>
      <c r="G310" s="27"/>
    </row>
    <row r="311" spans="1:7" ht="12.75">
      <c r="A311" s="116" t="s">
        <v>587</v>
      </c>
      <c r="B311" s="24"/>
      <c r="C311" s="24"/>
      <c r="D311" s="24"/>
      <c r="E311" s="24"/>
      <c r="F311" s="24"/>
      <c r="G311" s="27"/>
    </row>
    <row r="312" spans="1:7" ht="12.75">
      <c r="A312" s="116" t="s">
        <v>588</v>
      </c>
      <c r="B312" s="24"/>
      <c r="C312" s="24"/>
      <c r="D312" s="24"/>
      <c r="E312" s="24"/>
      <c r="F312" s="24"/>
      <c r="G312" s="27"/>
    </row>
    <row r="313" spans="1:7" ht="12.75">
      <c r="A313" s="116" t="s">
        <v>589</v>
      </c>
      <c r="B313" s="24"/>
      <c r="C313" s="24"/>
      <c r="D313" s="24"/>
      <c r="E313" s="24"/>
      <c r="F313" s="24"/>
      <c r="G313" s="27"/>
    </row>
    <row r="314" spans="1:7" ht="12.75">
      <c r="A314" s="116" t="s">
        <v>590</v>
      </c>
      <c r="B314" s="24"/>
      <c r="C314" s="24"/>
      <c r="D314" s="24"/>
      <c r="E314" s="24"/>
      <c r="F314" s="24"/>
      <c r="G314" s="27"/>
    </row>
    <row r="315" spans="1:7" ht="12.75">
      <c r="A315" s="116" t="s">
        <v>591</v>
      </c>
      <c r="B315" s="24"/>
      <c r="C315" s="24"/>
      <c r="D315" s="24"/>
      <c r="E315" s="24"/>
      <c r="F315" s="24"/>
      <c r="G315" s="27"/>
    </row>
    <row r="316" spans="1:7" ht="12.75">
      <c r="A316" s="116" t="s">
        <v>592</v>
      </c>
      <c r="B316" s="24"/>
      <c r="C316" s="24"/>
      <c r="D316" s="24"/>
      <c r="E316" s="24"/>
      <c r="F316" s="24"/>
      <c r="G316" s="27"/>
    </row>
    <row r="317" spans="1:7" ht="12.75">
      <c r="A317" s="116" t="s">
        <v>593</v>
      </c>
      <c r="B317" s="24"/>
      <c r="C317" s="24"/>
      <c r="D317" s="24"/>
      <c r="E317" s="24"/>
      <c r="F317" s="24"/>
      <c r="G317" s="27"/>
    </row>
    <row r="318" spans="1:7" ht="12.75">
      <c r="A318" s="116" t="s">
        <v>594</v>
      </c>
      <c r="B318" s="24"/>
      <c r="C318" s="24"/>
      <c r="D318" s="24"/>
      <c r="E318" s="24"/>
      <c r="F318" s="24"/>
      <c r="G318" s="27"/>
    </row>
    <row r="319" spans="1:7" ht="12.75">
      <c r="A319" s="116" t="str">
        <f>A185</f>
        <v xml:space="preserve">  Other</v>
      </c>
      <c r="B319" s="24"/>
      <c r="C319" s="24"/>
      <c r="D319" s="24"/>
      <c r="E319" s="24"/>
      <c r="F319" s="24"/>
      <c r="G319" s="27"/>
    </row>
    <row r="320" spans="1:7" ht="12.75">
      <c r="A320" s="116" t="str">
        <f>A186</f>
        <v xml:space="preserve">  Other</v>
      </c>
      <c r="B320" s="24"/>
      <c r="C320" s="24"/>
      <c r="D320" s="24"/>
      <c r="E320" s="24"/>
      <c r="F320" s="24"/>
      <c r="G320" s="27"/>
    </row>
    <row r="321" spans="1:7" ht="12.75">
      <c r="A321" s="116" t="s">
        <v>595</v>
      </c>
      <c r="B321" s="24"/>
      <c r="C321" s="24"/>
      <c r="D321" s="24"/>
      <c r="E321" s="24"/>
      <c r="F321" s="24"/>
      <c r="G321" s="27"/>
    </row>
    <row r="322" spans="1:7" ht="12.75">
      <c r="A322" s="116" t="s">
        <v>596</v>
      </c>
      <c r="B322" s="24"/>
      <c r="C322" s="24"/>
      <c r="D322" s="24"/>
      <c r="E322" s="24"/>
      <c r="F322" s="24"/>
      <c r="G322" s="27"/>
    </row>
    <row r="323" spans="1:7" ht="12.75">
      <c r="A323" s="116" t="s">
        <v>597</v>
      </c>
      <c r="B323" s="24"/>
      <c r="C323" s="24"/>
      <c r="D323" s="24"/>
      <c r="E323" s="24"/>
      <c r="F323" s="24"/>
      <c r="G323" s="27"/>
    </row>
    <row r="324" spans="1:7" ht="13.5" thickBot="1">
      <c r="A324" s="116" t="s">
        <v>598</v>
      </c>
      <c r="B324" s="24"/>
      <c r="C324" s="24"/>
      <c r="D324" s="24"/>
      <c r="E324" s="24"/>
      <c r="F324" s="24"/>
      <c r="G324" s="27"/>
    </row>
    <row r="325" spans="1:7" ht="14.25" thickTop="1" thickBot="1">
      <c r="A325" s="701" t="s">
        <v>613</v>
      </c>
      <c r="B325" s="694">
        <f t="shared" ref="B325:G325" si="30">SUM(B301:B324)</f>
        <v>0</v>
      </c>
      <c r="C325" s="694">
        <f t="shared" si="30"/>
        <v>0</v>
      </c>
      <c r="D325" s="694">
        <f t="shared" si="30"/>
        <v>0</v>
      </c>
      <c r="E325" s="694">
        <f t="shared" si="30"/>
        <v>0</v>
      </c>
      <c r="F325" s="694">
        <f t="shared" si="30"/>
        <v>0</v>
      </c>
      <c r="G325" s="695">
        <f t="shared" si="30"/>
        <v>0</v>
      </c>
    </row>
    <row r="326" spans="1:7" ht="13.5" thickTop="1">
      <c r="A326" s="703" t="s">
        <v>614</v>
      </c>
      <c r="B326" s="694">
        <f t="shared" ref="B326:G326" si="31">B295+B299+B325</f>
        <v>0</v>
      </c>
      <c r="C326" s="694">
        <f t="shared" si="31"/>
        <v>0</v>
      </c>
      <c r="D326" s="694">
        <f t="shared" si="31"/>
        <v>0</v>
      </c>
      <c r="E326" s="694">
        <f t="shared" si="31"/>
        <v>0</v>
      </c>
      <c r="F326" s="694">
        <f t="shared" si="31"/>
        <v>0</v>
      </c>
      <c r="G326" s="695">
        <f t="shared" si="31"/>
        <v>0</v>
      </c>
    </row>
    <row r="327" spans="1:7" ht="12.75">
      <c r="A327" s="687" t="s">
        <v>601</v>
      </c>
      <c r="B327" s="560">
        <f>G260+B326</f>
        <v>0</v>
      </c>
      <c r="C327" s="560">
        <f>B327+C326</f>
        <v>0</v>
      </c>
      <c r="D327" s="560">
        <f>C327+D326</f>
        <v>0</v>
      </c>
      <c r="E327" s="560">
        <f>D327+E326</f>
        <v>0</v>
      </c>
      <c r="F327" s="560">
        <f>E327+F326</f>
        <v>0</v>
      </c>
      <c r="G327" s="696">
        <f>F327+G326</f>
        <v>0</v>
      </c>
    </row>
    <row r="328" spans="1:7">
      <c r="A328" s="697"/>
      <c r="B328" s="691"/>
      <c r="C328" s="691"/>
      <c r="D328" s="691"/>
      <c r="E328" s="691"/>
      <c r="F328" s="691"/>
      <c r="G328" s="692"/>
    </row>
    <row r="329" spans="1:7" ht="12.75">
      <c r="A329" s="687" t="s">
        <v>615</v>
      </c>
      <c r="B329" s="186">
        <f t="shared" ref="B329:G329" si="32">B326/($B$58+0.00000001)</f>
        <v>0</v>
      </c>
      <c r="C329" s="186">
        <f t="shared" si="32"/>
        <v>0</v>
      </c>
      <c r="D329" s="186">
        <f t="shared" si="32"/>
        <v>0</v>
      </c>
      <c r="E329" s="186">
        <f t="shared" si="32"/>
        <v>0</v>
      </c>
      <c r="F329" s="186">
        <f t="shared" si="32"/>
        <v>0</v>
      </c>
      <c r="G329" s="698">
        <f t="shared" si="32"/>
        <v>0</v>
      </c>
    </row>
    <row r="330" spans="1:7">
      <c r="A330" s="697"/>
      <c r="B330" s="691"/>
      <c r="C330" s="691"/>
      <c r="D330" s="691"/>
      <c r="E330" s="691"/>
      <c r="F330" s="691"/>
      <c r="G330" s="692"/>
    </row>
    <row r="331" spans="1:7" ht="12.75">
      <c r="A331" s="116" t="s">
        <v>603</v>
      </c>
      <c r="B331" s="560">
        <f>G264+B278-B287</f>
        <v>0</v>
      </c>
      <c r="C331" s="560">
        <f>B331+C278-C287</f>
        <v>0</v>
      </c>
      <c r="D331" s="560">
        <f>C331+D278-D287</f>
        <v>0</v>
      </c>
      <c r="E331" s="560">
        <f>D331+E278-E287</f>
        <v>0</v>
      </c>
      <c r="F331" s="560">
        <f>E331+F278-F287</f>
        <v>0</v>
      </c>
      <c r="G331" s="696">
        <f>F331+G278-G287</f>
        <v>0</v>
      </c>
    </row>
    <row r="332" spans="1:7" ht="12.75">
      <c r="A332" s="116" t="s">
        <v>604</v>
      </c>
      <c r="B332" s="560">
        <f>G265+B284-B288</f>
        <v>0</v>
      </c>
      <c r="C332" s="560">
        <f t="shared" ref="C332:G333" si="33">B332+C284-C288</f>
        <v>0</v>
      </c>
      <c r="D332" s="560">
        <f t="shared" si="33"/>
        <v>0</v>
      </c>
      <c r="E332" s="560">
        <f t="shared" si="33"/>
        <v>0</v>
      </c>
      <c r="F332" s="560">
        <f t="shared" si="33"/>
        <v>0</v>
      </c>
      <c r="G332" s="696">
        <f t="shared" si="33"/>
        <v>0</v>
      </c>
    </row>
    <row r="333" spans="1:7" ht="12.75">
      <c r="A333" s="116" t="s">
        <v>605</v>
      </c>
      <c r="B333" s="560">
        <f>G266+B285-B289</f>
        <v>0</v>
      </c>
      <c r="C333" s="560">
        <f t="shared" si="33"/>
        <v>0</v>
      </c>
      <c r="D333" s="560">
        <f t="shared" si="33"/>
        <v>0</v>
      </c>
      <c r="E333" s="560">
        <f t="shared" si="33"/>
        <v>0</v>
      </c>
      <c r="F333" s="560">
        <f t="shared" si="33"/>
        <v>0</v>
      </c>
      <c r="G333" s="696">
        <f t="shared" si="33"/>
        <v>0</v>
      </c>
    </row>
    <row r="334" spans="1:7" ht="12" thickBot="1">
      <c r="A334" s="705"/>
      <c r="B334" s="30"/>
      <c r="C334" s="30"/>
      <c r="D334" s="30"/>
      <c r="E334" s="30"/>
      <c r="F334" s="30"/>
      <c r="G334" s="31"/>
    </row>
    <row r="335" spans="1:7" ht="14.25">
      <c r="A335" s="359">
        <f>PROJNAME</f>
        <v>0</v>
      </c>
      <c r="B335" s="359"/>
      <c r="C335" s="359"/>
      <c r="D335" s="830" t="e">
        <f>'1. Description'!$G$59</f>
        <v>#VALUE!</v>
      </c>
      <c r="E335" s="84"/>
      <c r="F335" s="829" t="e">
        <f>'1. Description'!$H$59</f>
        <v>#VALUE!</v>
      </c>
      <c r="G335" s="84"/>
    </row>
    <row r="336" spans="1:7">
      <c r="A336" s="677" t="str">
        <f>A135</f>
        <v>One Stop2000 Affordable Housing Finance Application [Version 1.21] ©</v>
      </c>
      <c r="B336" s="678"/>
      <c r="C336" s="678"/>
      <c r="D336" s="678"/>
      <c r="E336" s="678"/>
      <c r="F336" s="678"/>
      <c r="G336" s="678"/>
    </row>
    <row r="337" spans="1:7" ht="15.75">
      <c r="A337" s="679" t="s">
        <v>534</v>
      </c>
      <c r="B337" s="679"/>
      <c r="C337" s="679"/>
      <c r="D337" s="679"/>
      <c r="E337" s="679"/>
      <c r="F337" s="679"/>
      <c r="G337" s="706"/>
    </row>
    <row r="338" spans="1:7" ht="15.75">
      <c r="A338" s="680" t="s">
        <v>535</v>
      </c>
      <c r="B338" s="680"/>
      <c r="C338" s="680"/>
      <c r="D338" s="680"/>
      <c r="E338" s="680"/>
      <c r="F338" s="680"/>
      <c r="G338" s="706"/>
    </row>
    <row r="339" spans="1:7" ht="12" thickBot="1">
      <c r="A339" s="681" t="s">
        <v>1050</v>
      </c>
      <c r="B339" s="681"/>
      <c r="C339" s="681"/>
      <c r="D339" s="681"/>
      <c r="E339" s="681"/>
      <c r="F339" s="681"/>
      <c r="G339" s="681"/>
    </row>
    <row r="340" spans="1:7">
      <c r="A340" s="682"/>
      <c r="B340" s="683"/>
      <c r="C340" s="683"/>
      <c r="D340" s="683"/>
      <c r="E340" s="683"/>
      <c r="F340" s="683"/>
      <c r="G340" s="684"/>
    </row>
    <row r="341" spans="1:7">
      <c r="A341" s="685" t="s">
        <v>536</v>
      </c>
      <c r="B341" s="119"/>
      <c r="C341" s="119"/>
      <c r="D341" s="119"/>
      <c r="E341" s="119"/>
      <c r="F341" s="119"/>
      <c r="G341" s="686"/>
    </row>
    <row r="342" spans="1:7">
      <c r="A342" s="685" t="s">
        <v>537</v>
      </c>
      <c r="B342" s="119"/>
      <c r="C342" s="119"/>
      <c r="D342" s="119"/>
      <c r="E342" s="119"/>
      <c r="F342" s="119"/>
      <c r="G342" s="686"/>
    </row>
    <row r="343" spans="1:7" ht="12.75">
      <c r="A343" s="685"/>
      <c r="B343" s="119"/>
      <c r="C343" s="119"/>
      <c r="D343" s="119"/>
      <c r="E343" s="119"/>
      <c r="F343" s="119"/>
      <c r="G343" s="791" t="s">
        <v>622</v>
      </c>
    </row>
    <row r="344" spans="1:7" ht="12.75">
      <c r="A344" s="687" t="s">
        <v>538</v>
      </c>
      <c r="B344" s="210" t="s">
        <v>1096</v>
      </c>
      <c r="C344" s="210" t="s">
        <v>1097</v>
      </c>
      <c r="D344" s="210" t="s">
        <v>1098</v>
      </c>
      <c r="E344" s="210" t="s">
        <v>1099</v>
      </c>
      <c r="F344" s="210" t="s">
        <v>1100</v>
      </c>
      <c r="G344" s="790" t="s">
        <v>628</v>
      </c>
    </row>
    <row r="345" spans="1:7" ht="12.75">
      <c r="A345" s="701" t="s">
        <v>545</v>
      </c>
      <c r="B345" s="24"/>
      <c r="C345" s="24"/>
      <c r="D345" s="24"/>
      <c r="E345" s="24"/>
      <c r="F345" s="24"/>
      <c r="G345" s="696">
        <f t="shared" ref="G345:G352" si="34">$B10-(SUM($C10:$G10)+SUM($B77:$G77)+SUM($B144:$G144)+SUM($B211:$G211)+SUM($B278:$G278)+SUM($B345:$F345))</f>
        <v>0</v>
      </c>
    </row>
    <row r="346" spans="1:7" ht="12.75">
      <c r="A346" s="701" t="s">
        <v>547</v>
      </c>
      <c r="B346" s="24"/>
      <c r="C346" s="24"/>
      <c r="D346" s="24"/>
      <c r="E346" s="24"/>
      <c r="F346" s="24"/>
      <c r="G346" s="696">
        <f t="shared" si="34"/>
        <v>0</v>
      </c>
    </row>
    <row r="347" spans="1:7" ht="12.75">
      <c r="A347" s="701" t="s">
        <v>548</v>
      </c>
      <c r="B347" s="24"/>
      <c r="C347" s="24"/>
      <c r="D347" s="24"/>
      <c r="E347" s="24"/>
      <c r="F347" s="24"/>
      <c r="G347" s="696">
        <f t="shared" si="34"/>
        <v>0</v>
      </c>
    </row>
    <row r="348" spans="1:7" ht="12.75">
      <c r="A348" s="701" t="s">
        <v>612</v>
      </c>
      <c r="B348" s="24"/>
      <c r="C348" s="24"/>
      <c r="D348" s="24"/>
      <c r="E348" s="24"/>
      <c r="F348" s="24"/>
      <c r="G348" s="696">
        <f t="shared" si="34"/>
        <v>9.9999999999999994E-12</v>
      </c>
    </row>
    <row r="349" spans="1:7" ht="12.75">
      <c r="A349" s="116" t="s">
        <v>550</v>
      </c>
      <c r="B349" s="24"/>
      <c r="C349" s="24"/>
      <c r="D349" s="24"/>
      <c r="E349" s="24"/>
      <c r="F349" s="24"/>
      <c r="G349" s="696">
        <f t="shared" si="34"/>
        <v>0</v>
      </c>
    </row>
    <row r="350" spans="1:7" ht="12.75">
      <c r="A350" s="116" t="s">
        <v>551</v>
      </c>
      <c r="B350" s="24"/>
      <c r="C350" s="24"/>
      <c r="D350" s="24"/>
      <c r="E350" s="24"/>
      <c r="F350" s="24"/>
      <c r="G350" s="696">
        <f t="shared" si="34"/>
        <v>0</v>
      </c>
    </row>
    <row r="351" spans="1:7" ht="12.75">
      <c r="A351" s="116" t="s">
        <v>555</v>
      </c>
      <c r="B351" s="24"/>
      <c r="C351" s="24"/>
      <c r="D351" s="24"/>
      <c r="E351" s="24"/>
      <c r="F351" s="24"/>
      <c r="G351" s="696">
        <f t="shared" si="34"/>
        <v>9.9999999999999994E-12</v>
      </c>
    </row>
    <row r="352" spans="1:7" ht="13.5" thickBot="1">
      <c r="A352" s="116" t="s">
        <v>556</v>
      </c>
      <c r="B352" s="24"/>
      <c r="C352" s="24"/>
      <c r="D352" s="24"/>
      <c r="E352" s="24"/>
      <c r="F352" s="24"/>
      <c r="G352" s="696">
        <f t="shared" si="34"/>
        <v>9.9999999999999994E-12</v>
      </c>
    </row>
    <row r="353" spans="1:7" ht="14.25" thickTop="1" thickBot="1">
      <c r="A353" s="687" t="s">
        <v>557</v>
      </c>
      <c r="B353" s="694">
        <f t="shared" ref="B353:G353" si="35">SUM(B345:B352)</f>
        <v>0</v>
      </c>
      <c r="C353" s="694">
        <f t="shared" si="35"/>
        <v>0</v>
      </c>
      <c r="D353" s="694">
        <f t="shared" si="35"/>
        <v>0</v>
      </c>
      <c r="E353" s="694">
        <f t="shared" si="35"/>
        <v>0</v>
      </c>
      <c r="F353" s="694">
        <f t="shared" si="35"/>
        <v>0</v>
      </c>
      <c r="G353" s="689">
        <f t="shared" si="35"/>
        <v>3E-11</v>
      </c>
    </row>
    <row r="354" spans="1:7" ht="13.5" thickTop="1">
      <c r="A354" s="116" t="s">
        <v>558</v>
      </c>
      <c r="B354" s="32"/>
      <c r="C354" s="32"/>
      <c r="D354" s="32"/>
      <c r="E354" s="32"/>
      <c r="F354" s="32"/>
      <c r="G354" s="696">
        <f>(SUM($C19:$G19)+SUM($B86:$G86)+SUM($B153:$G153)+SUM($B220:$G220))+SUM($B287:$G287)+SUM($B354:$F354)</f>
        <v>0</v>
      </c>
    </row>
    <row r="355" spans="1:7" ht="12.75">
      <c r="A355" s="116" t="s">
        <v>560</v>
      </c>
      <c r="B355" s="24"/>
      <c r="C355" s="24"/>
      <c r="D355" s="24"/>
      <c r="E355" s="24"/>
      <c r="F355" s="24"/>
      <c r="G355" s="696">
        <f>(SUM($C20:$G20)+SUM($B87:$G87)+SUM($B154:$G154)+SUM($B221:$G221))+SUM($B288:$G288)+SUM($B355:$F355)</f>
        <v>0</v>
      </c>
    </row>
    <row r="356" spans="1:7" ht="13.5" thickBot="1">
      <c r="A356" s="116" t="s">
        <v>561</v>
      </c>
      <c r="B356" s="24"/>
      <c r="C356" s="24"/>
      <c r="D356" s="24"/>
      <c r="E356" s="24"/>
      <c r="F356" s="24"/>
      <c r="G356" s="696">
        <f>(SUM($C21:$G21)+SUM($B88:$G88)+SUM($B155:$G155)+SUM($B222:$G222))+SUM($B289:$G289)+SUM($B356:$F356)</f>
        <v>0</v>
      </c>
    </row>
    <row r="357" spans="1:7" ht="13.5" thickTop="1">
      <c r="A357" s="687" t="s">
        <v>562</v>
      </c>
      <c r="B357" s="694">
        <f t="shared" ref="B357:G357" si="36">B353-SUM(B354:B356)</f>
        <v>0</v>
      </c>
      <c r="C357" s="694">
        <f t="shared" si="36"/>
        <v>0</v>
      </c>
      <c r="D357" s="694">
        <f t="shared" si="36"/>
        <v>0</v>
      </c>
      <c r="E357" s="694">
        <f t="shared" si="36"/>
        <v>0</v>
      </c>
      <c r="F357" s="694">
        <f t="shared" si="36"/>
        <v>0</v>
      </c>
      <c r="G357" s="695">
        <f t="shared" si="36"/>
        <v>3E-11</v>
      </c>
    </row>
    <row r="358" spans="1:7" ht="12.75">
      <c r="A358" s="687" t="s">
        <v>563</v>
      </c>
      <c r="B358" s="560">
        <f>G291+B357</f>
        <v>0</v>
      </c>
      <c r="C358" s="560">
        <f>B358+C357</f>
        <v>0</v>
      </c>
      <c r="D358" s="560">
        <f>C358+D357</f>
        <v>0</v>
      </c>
      <c r="E358" s="560">
        <f>D358+E357</f>
        <v>0</v>
      </c>
      <c r="F358" s="560">
        <f>E358+F357</f>
        <v>0</v>
      </c>
      <c r="G358" s="693"/>
    </row>
    <row r="359" spans="1:7">
      <c r="A359" s="702"/>
      <c r="B359" s="80" t="s">
        <v>564</v>
      </c>
      <c r="C359" s="691"/>
      <c r="D359" s="691"/>
      <c r="E359" s="691"/>
      <c r="F359" s="691"/>
      <c r="G359" s="692"/>
    </row>
    <row r="360" spans="1:7" ht="12.75">
      <c r="A360" s="702"/>
      <c r="B360" s="691"/>
      <c r="C360" s="691"/>
      <c r="D360" s="691"/>
      <c r="E360" s="691"/>
      <c r="F360" s="691"/>
      <c r="G360" s="791" t="s">
        <v>622</v>
      </c>
    </row>
    <row r="361" spans="1:7" ht="12.75">
      <c r="A361" s="703" t="s">
        <v>630</v>
      </c>
      <c r="B361" s="210" t="s">
        <v>1096</v>
      </c>
      <c r="C361" s="210" t="s">
        <v>1097</v>
      </c>
      <c r="D361" s="210" t="s">
        <v>1098</v>
      </c>
      <c r="E361" s="210" t="s">
        <v>1099</v>
      </c>
      <c r="F361" s="210" t="s">
        <v>1100</v>
      </c>
      <c r="G361" s="790" t="s">
        <v>628</v>
      </c>
    </row>
    <row r="362" spans="1:7" ht="12.75">
      <c r="A362" s="703" t="s">
        <v>160</v>
      </c>
      <c r="B362" s="24"/>
      <c r="C362" s="24"/>
      <c r="D362" s="24"/>
      <c r="E362" s="24"/>
      <c r="F362" s="24"/>
      <c r="G362" s="696">
        <f>$B27-(SUM($C27:$G27)+SUM($B94:$G94)+SUM($B161:$G161)+SUM($B228:$G228)+SUM($B295:$G295)+SUM($B362:$F362))</f>
        <v>0</v>
      </c>
    </row>
    <row r="363" spans="1:7" ht="12.75">
      <c r="A363" s="703" t="s">
        <v>566</v>
      </c>
      <c r="B363" s="24"/>
      <c r="C363" s="24"/>
      <c r="D363" s="24"/>
      <c r="E363" s="24"/>
      <c r="F363" s="24"/>
      <c r="G363" s="693"/>
    </row>
    <row r="364" spans="1:7" ht="12.75">
      <c r="A364" s="701" t="s">
        <v>567</v>
      </c>
      <c r="G364" s="696">
        <f>$B29-(SUM($C29:$G29)+SUM($B96:$G96)+SUM($B163:$G163)+SUM($B230:$G230)+SUM($B297:$G297)+SUM($B363:$F363))</f>
        <v>0</v>
      </c>
    </row>
    <row r="365" spans="1:7" ht="13.5" thickBot="1">
      <c r="A365" s="701" t="s">
        <v>568</v>
      </c>
      <c r="B365" s="24"/>
      <c r="C365" s="24"/>
      <c r="D365" s="24"/>
      <c r="E365" s="24"/>
      <c r="F365" s="24"/>
      <c r="G365" s="696">
        <f>$B30-(SUM($C30:$G30)+SUM($B97:$G97)+SUM($B164:$G164)+SUM($B231:$G231)+SUM($B298:$G298)+SUM($B365:$F365))</f>
        <v>0</v>
      </c>
    </row>
    <row r="366" spans="1:7" ht="13.5" thickTop="1">
      <c r="A366" s="701" t="s">
        <v>569</v>
      </c>
      <c r="B366" s="694">
        <f>B363+B365</f>
        <v>0</v>
      </c>
      <c r="C366" s="694">
        <f>C363+C365</f>
        <v>0</v>
      </c>
      <c r="D366" s="694">
        <f>D363+D365</f>
        <v>0</v>
      </c>
      <c r="E366" s="694">
        <f>E363+E365</f>
        <v>0</v>
      </c>
      <c r="F366" s="694">
        <f>F363+F365</f>
        <v>0</v>
      </c>
      <c r="G366" s="695">
        <f>G364+G365</f>
        <v>0</v>
      </c>
    </row>
    <row r="367" spans="1:7" ht="12.75">
      <c r="A367" s="703" t="s">
        <v>570</v>
      </c>
      <c r="B367" s="561"/>
      <c r="C367" s="561"/>
      <c r="D367" s="561"/>
      <c r="E367" s="561"/>
      <c r="F367" s="561"/>
      <c r="G367" s="693"/>
    </row>
    <row r="368" spans="1:7" ht="12.75">
      <c r="A368" s="116" t="s">
        <v>571</v>
      </c>
      <c r="B368" s="24"/>
      <c r="C368" s="24"/>
      <c r="D368" s="24"/>
      <c r="E368" s="24"/>
      <c r="F368" s="24"/>
      <c r="G368" s="696">
        <f t="shared" ref="G368:G391" si="37">$B33-(SUM($C33:$G33)+SUM($B100:$G100)+SUM($B167:$G167)+SUM($B234:$G234)+SUM($B301:$G301)+SUM($B368:$F368))</f>
        <v>0</v>
      </c>
    </row>
    <row r="369" spans="1:7" ht="12.75">
      <c r="A369" s="116" t="s">
        <v>572</v>
      </c>
      <c r="B369" s="24"/>
      <c r="C369" s="24"/>
      <c r="D369" s="24"/>
      <c r="E369" s="24"/>
      <c r="F369" s="24"/>
      <c r="G369" s="696">
        <f t="shared" si="37"/>
        <v>0</v>
      </c>
    </row>
    <row r="370" spans="1:7" ht="12.75">
      <c r="A370" s="116" t="s">
        <v>573</v>
      </c>
      <c r="B370" s="24"/>
      <c r="C370" s="24"/>
      <c r="D370" s="24"/>
      <c r="E370" s="24"/>
      <c r="F370" s="24"/>
      <c r="G370" s="696">
        <f t="shared" si="37"/>
        <v>0</v>
      </c>
    </row>
    <row r="371" spans="1:7" ht="12.75">
      <c r="A371" s="116" t="s">
        <v>574</v>
      </c>
      <c r="B371" s="24"/>
      <c r="C371" s="24"/>
      <c r="D371" s="24"/>
      <c r="E371" s="24"/>
      <c r="F371" s="24"/>
      <c r="G371" s="696">
        <f t="shared" si="37"/>
        <v>0</v>
      </c>
    </row>
    <row r="372" spans="1:7" ht="12.75">
      <c r="A372" s="116" t="s">
        <v>575</v>
      </c>
      <c r="B372" s="24"/>
      <c r="C372" s="24"/>
      <c r="D372" s="24"/>
      <c r="E372" s="24"/>
      <c r="F372" s="24"/>
      <c r="G372" s="696">
        <f t="shared" si="37"/>
        <v>0</v>
      </c>
    </row>
    <row r="373" spans="1:7" ht="12.75">
      <c r="A373" s="116" t="s">
        <v>576</v>
      </c>
      <c r="B373" s="24"/>
      <c r="C373" s="24"/>
      <c r="D373" s="24"/>
      <c r="E373" s="24"/>
      <c r="F373" s="24"/>
      <c r="G373" s="696">
        <f t="shared" si="37"/>
        <v>0</v>
      </c>
    </row>
    <row r="374" spans="1:7" ht="12.75">
      <c r="A374" s="116" t="s">
        <v>577</v>
      </c>
      <c r="B374" s="24"/>
      <c r="C374" s="24"/>
      <c r="D374" s="24"/>
      <c r="E374" s="24"/>
      <c r="F374" s="24"/>
      <c r="G374" s="696">
        <f t="shared" si="37"/>
        <v>0</v>
      </c>
    </row>
    <row r="375" spans="1:7" ht="12.75">
      <c r="A375" s="116" t="s">
        <v>584</v>
      </c>
      <c r="B375" s="24"/>
      <c r="C375" s="24"/>
      <c r="D375" s="24"/>
      <c r="E375" s="24"/>
      <c r="F375" s="24"/>
      <c r="G375" s="696">
        <f t="shared" si="37"/>
        <v>0</v>
      </c>
    </row>
    <row r="376" spans="1:7" ht="12.75">
      <c r="A376" s="116" t="s">
        <v>585</v>
      </c>
      <c r="B376" s="24"/>
      <c r="C376" s="24"/>
      <c r="D376" s="24"/>
      <c r="E376" s="24"/>
      <c r="F376" s="24"/>
      <c r="G376" s="696">
        <f t="shared" si="37"/>
        <v>0</v>
      </c>
    </row>
    <row r="377" spans="1:7" ht="12.75">
      <c r="A377" s="116" t="s">
        <v>586</v>
      </c>
      <c r="B377" s="24"/>
      <c r="C377" s="24"/>
      <c r="D377" s="24"/>
      <c r="E377" s="24"/>
      <c r="F377" s="24"/>
      <c r="G377" s="696">
        <f t="shared" si="37"/>
        <v>0</v>
      </c>
    </row>
    <row r="378" spans="1:7" ht="12.75">
      <c r="A378" s="116" t="s">
        <v>587</v>
      </c>
      <c r="B378" s="24"/>
      <c r="C378" s="24"/>
      <c r="D378" s="24"/>
      <c r="E378" s="24"/>
      <c r="F378" s="24"/>
      <c r="G378" s="696">
        <f t="shared" si="37"/>
        <v>0</v>
      </c>
    </row>
    <row r="379" spans="1:7" ht="12.75">
      <c r="A379" s="116" t="s">
        <v>588</v>
      </c>
      <c r="B379" s="24"/>
      <c r="C379" s="24"/>
      <c r="D379" s="24"/>
      <c r="E379" s="24"/>
      <c r="F379" s="24"/>
      <c r="G379" s="696">
        <f t="shared" si="37"/>
        <v>0</v>
      </c>
    </row>
    <row r="380" spans="1:7" ht="12.75">
      <c r="A380" s="116" t="s">
        <v>589</v>
      </c>
      <c r="B380" s="24"/>
      <c r="C380" s="24"/>
      <c r="D380" s="24"/>
      <c r="E380" s="24"/>
      <c r="F380" s="24"/>
      <c r="G380" s="696">
        <f t="shared" si="37"/>
        <v>0</v>
      </c>
    </row>
    <row r="381" spans="1:7" ht="12.75">
      <c r="A381" s="116" t="s">
        <v>590</v>
      </c>
      <c r="B381" s="24"/>
      <c r="C381" s="24"/>
      <c r="D381" s="24"/>
      <c r="E381" s="24"/>
      <c r="F381" s="24"/>
      <c r="G381" s="696">
        <f t="shared" si="37"/>
        <v>0</v>
      </c>
    </row>
    <row r="382" spans="1:7" ht="12.75">
      <c r="A382" s="116" t="s">
        <v>591</v>
      </c>
      <c r="B382" s="24"/>
      <c r="C382" s="24"/>
      <c r="D382" s="24"/>
      <c r="E382" s="24"/>
      <c r="F382" s="24"/>
      <c r="G382" s="696">
        <f t="shared" si="37"/>
        <v>0</v>
      </c>
    </row>
    <row r="383" spans="1:7" ht="12.75">
      <c r="A383" s="116" t="s">
        <v>592</v>
      </c>
      <c r="B383" s="24"/>
      <c r="C383" s="24"/>
      <c r="D383" s="24"/>
      <c r="E383" s="24"/>
      <c r="F383" s="24"/>
      <c r="G383" s="696">
        <f t="shared" si="37"/>
        <v>0</v>
      </c>
    </row>
    <row r="384" spans="1:7" ht="12.75">
      <c r="A384" s="116" t="s">
        <v>593</v>
      </c>
      <c r="B384" s="24"/>
      <c r="C384" s="24"/>
      <c r="D384" s="24"/>
      <c r="E384" s="24"/>
      <c r="F384" s="24"/>
      <c r="G384" s="696">
        <f t="shared" si="37"/>
        <v>0</v>
      </c>
    </row>
    <row r="385" spans="1:7" ht="12.75">
      <c r="A385" s="116" t="s">
        <v>594</v>
      </c>
      <c r="B385" s="24"/>
      <c r="C385" s="24"/>
      <c r="D385" s="24"/>
      <c r="E385" s="24"/>
      <c r="F385" s="24"/>
      <c r="G385" s="696">
        <f t="shared" si="37"/>
        <v>0</v>
      </c>
    </row>
    <row r="386" spans="1:7" ht="12.75">
      <c r="A386" s="116" t="str">
        <f>A185</f>
        <v xml:space="preserve">  Other</v>
      </c>
      <c r="B386" s="24"/>
      <c r="C386" s="24"/>
      <c r="D386" s="24"/>
      <c r="E386" s="24"/>
      <c r="F386" s="24"/>
      <c r="G386" s="696">
        <f t="shared" si="37"/>
        <v>0</v>
      </c>
    </row>
    <row r="387" spans="1:7" ht="12.75">
      <c r="A387" s="116" t="str">
        <f>A186</f>
        <v xml:space="preserve">  Other</v>
      </c>
      <c r="B387" s="24"/>
      <c r="C387" s="24"/>
      <c r="D387" s="24"/>
      <c r="E387" s="24"/>
      <c r="F387" s="24"/>
      <c r="G387" s="696">
        <f t="shared" si="37"/>
        <v>0</v>
      </c>
    </row>
    <row r="388" spans="1:7" ht="12.75">
      <c r="A388" s="116" t="s">
        <v>595</v>
      </c>
      <c r="B388" s="24"/>
      <c r="C388" s="24"/>
      <c r="D388" s="24"/>
      <c r="E388" s="24"/>
      <c r="F388" s="24"/>
      <c r="G388" s="696">
        <f t="shared" si="37"/>
        <v>0</v>
      </c>
    </row>
    <row r="389" spans="1:7" ht="12.75">
      <c r="A389" s="116" t="s">
        <v>596</v>
      </c>
      <c r="B389" s="24"/>
      <c r="C389" s="24"/>
      <c r="D389" s="24"/>
      <c r="E389" s="24"/>
      <c r="F389" s="24"/>
      <c r="G389" s="696">
        <f t="shared" si="37"/>
        <v>0</v>
      </c>
    </row>
    <row r="390" spans="1:7" ht="12.75">
      <c r="A390" s="116" t="s">
        <v>597</v>
      </c>
      <c r="B390" s="24"/>
      <c r="C390" s="24"/>
      <c r="D390" s="24"/>
      <c r="E390" s="24"/>
      <c r="F390" s="24"/>
      <c r="G390" s="696">
        <f t="shared" si="37"/>
        <v>0</v>
      </c>
    </row>
    <row r="391" spans="1:7" ht="13.5" thickBot="1">
      <c r="A391" s="116" t="s">
        <v>598</v>
      </c>
      <c r="B391" s="24"/>
      <c r="C391" s="24"/>
      <c r="D391" s="24"/>
      <c r="E391" s="24"/>
      <c r="F391" s="24"/>
      <c r="G391" s="696">
        <f t="shared" si="37"/>
        <v>0</v>
      </c>
    </row>
    <row r="392" spans="1:7" ht="14.25" thickTop="1" thickBot="1">
      <c r="A392" s="701" t="s">
        <v>613</v>
      </c>
      <c r="B392" s="694">
        <f t="shared" ref="B392:G392" si="38">SUM(B368:B391)</f>
        <v>0</v>
      </c>
      <c r="C392" s="694">
        <f t="shared" si="38"/>
        <v>0</v>
      </c>
      <c r="D392" s="694">
        <f t="shared" si="38"/>
        <v>0</v>
      </c>
      <c r="E392" s="694">
        <f t="shared" si="38"/>
        <v>0</v>
      </c>
      <c r="F392" s="694">
        <f t="shared" si="38"/>
        <v>0</v>
      </c>
      <c r="G392" s="689">
        <f t="shared" si="38"/>
        <v>0</v>
      </c>
    </row>
    <row r="393" spans="1:7" ht="13.5" thickTop="1">
      <c r="A393" s="703" t="s">
        <v>614</v>
      </c>
      <c r="B393" s="694">
        <f t="shared" ref="B393:G393" si="39">B362+B366+B392</f>
        <v>0</v>
      </c>
      <c r="C393" s="694">
        <f t="shared" si="39"/>
        <v>0</v>
      </c>
      <c r="D393" s="694">
        <f t="shared" si="39"/>
        <v>0</v>
      </c>
      <c r="E393" s="694">
        <f t="shared" si="39"/>
        <v>0</v>
      </c>
      <c r="F393" s="694">
        <f t="shared" si="39"/>
        <v>0</v>
      </c>
      <c r="G393" s="695">
        <f t="shared" si="39"/>
        <v>0</v>
      </c>
    </row>
    <row r="394" spans="1:7" ht="12.75">
      <c r="A394" s="687" t="s">
        <v>601</v>
      </c>
      <c r="B394" s="560">
        <f>G327+B393</f>
        <v>0</v>
      </c>
      <c r="C394" s="560">
        <f>B394+C393</f>
        <v>0</v>
      </c>
      <c r="D394" s="560">
        <f>C394+D393</f>
        <v>0</v>
      </c>
      <c r="E394" s="560">
        <f>D394+E393</f>
        <v>0</v>
      </c>
      <c r="F394" s="560">
        <f>E394+F393</f>
        <v>0</v>
      </c>
      <c r="G394" s="693"/>
    </row>
    <row r="395" spans="1:7">
      <c r="A395" s="697"/>
      <c r="B395" s="691"/>
      <c r="C395" s="691"/>
      <c r="D395" s="691"/>
      <c r="E395" s="691"/>
      <c r="F395" s="691"/>
      <c r="G395" s="692"/>
    </row>
    <row r="396" spans="1:7" ht="12.75">
      <c r="A396" s="687" t="s">
        <v>615</v>
      </c>
      <c r="B396" s="186">
        <f>B393/($B$58+0.0000001)</f>
        <v>0</v>
      </c>
      <c r="C396" s="186">
        <f>C393/($B$58+0.0000001)</f>
        <v>0</v>
      </c>
      <c r="D396" s="186">
        <f>D393/($B$58+0.0000001)</f>
        <v>0</v>
      </c>
      <c r="E396" s="186">
        <f>E393/($B$58+0.0000001)</f>
        <v>0</v>
      </c>
      <c r="F396" s="186">
        <f>F393/($B$58+0.0000001)</f>
        <v>0</v>
      </c>
      <c r="G396" s="693"/>
    </row>
    <row r="397" spans="1:7">
      <c r="A397" s="697"/>
      <c r="B397" s="691"/>
      <c r="C397" s="691"/>
      <c r="D397" s="691"/>
      <c r="E397" s="691"/>
      <c r="F397" s="691"/>
      <c r="G397" s="692"/>
    </row>
    <row r="398" spans="1:7" ht="12.75">
      <c r="A398" s="116" t="s">
        <v>603</v>
      </c>
      <c r="B398" s="560">
        <f>G331+B345-B354</f>
        <v>0</v>
      </c>
      <c r="C398" s="560">
        <f>B398+C345-C354</f>
        <v>0</v>
      </c>
      <c r="D398" s="560">
        <f>C398+D345-D354</f>
        <v>0</v>
      </c>
      <c r="E398" s="560">
        <f>D398+E345-E354</f>
        <v>0</v>
      </c>
      <c r="F398" s="560">
        <f>E398+F345-F354</f>
        <v>0</v>
      </c>
      <c r="G398" s="693"/>
    </row>
    <row r="399" spans="1:7" ht="12.75">
      <c r="A399" s="116" t="s">
        <v>604</v>
      </c>
      <c r="B399" s="560">
        <f>G332+B351-B355</f>
        <v>0</v>
      </c>
      <c r="C399" s="560">
        <f t="shared" ref="C399:F400" si="40">B399+C351-C355</f>
        <v>0</v>
      </c>
      <c r="D399" s="560">
        <f t="shared" si="40"/>
        <v>0</v>
      </c>
      <c r="E399" s="560">
        <f t="shared" si="40"/>
        <v>0</v>
      </c>
      <c r="F399" s="560">
        <f t="shared" si="40"/>
        <v>0</v>
      </c>
      <c r="G399" s="693"/>
    </row>
    <row r="400" spans="1:7" ht="12.75">
      <c r="A400" s="116" t="s">
        <v>605</v>
      </c>
      <c r="B400" s="560">
        <f>G333+B352-B356</f>
        <v>0</v>
      </c>
      <c r="C400" s="560">
        <f t="shared" si="40"/>
        <v>0</v>
      </c>
      <c r="D400" s="560">
        <f t="shared" si="40"/>
        <v>0</v>
      </c>
      <c r="E400" s="560">
        <f t="shared" si="40"/>
        <v>0</v>
      </c>
      <c r="F400" s="560">
        <f t="shared" si="40"/>
        <v>0</v>
      </c>
      <c r="G400" s="693"/>
    </row>
    <row r="401" spans="1:7" ht="12" thickBot="1">
      <c r="A401" s="705"/>
      <c r="B401" s="30"/>
      <c r="C401" s="30"/>
      <c r="D401" s="30"/>
      <c r="E401" s="30"/>
      <c r="F401" s="30"/>
      <c r="G401" s="708"/>
    </row>
    <row r="402" spans="1:7" ht="14.25">
      <c r="A402" s="359">
        <f>PROJNAME</f>
        <v>0</v>
      </c>
      <c r="B402" s="359"/>
      <c r="C402" s="359"/>
      <c r="D402" s="830" t="e">
        <f>'1. Description'!$G$59</f>
        <v>#VALUE!</v>
      </c>
      <c r="E402" s="84"/>
      <c r="F402" s="829" t="e">
        <f>'1. Description'!$H$59</f>
        <v>#VALUE!</v>
      </c>
      <c r="G402" s="84"/>
    </row>
  </sheetData>
  <phoneticPr fontId="140" type="noConversion"/>
  <printOptions horizontalCentered="1" gridLinesSet="0"/>
  <pageMargins left="7.0000000000000007E-2" right="7.0000000000000007E-2" top="7.0000000000000007E-2" bottom="7.0000000000000007E-2" header="7.0000000000000007E-2" footer="7.0000000000000007E-2"/>
  <pageSetup scale="94" orientation="portrait" blackAndWhite="1" horizontalDpi="300" verticalDpi="300" r:id="rId1"/>
  <headerFooter alignWithMargins="0"/>
  <rowBreaks count="5" manualBreakCount="5">
    <brk id="67" max="65535" man="1"/>
    <brk id="134" max="65535" man="1"/>
    <brk id="201" max="65535" man="1"/>
    <brk id="268" max="16383" man="1"/>
    <brk id="3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D113"/>
  <sheetViews>
    <sheetView showGridLines="0" zoomScaleNormal="100" workbookViewId="0">
      <selection sqref="A1:C1"/>
    </sheetView>
  </sheetViews>
  <sheetFormatPr defaultRowHeight="15"/>
  <cols>
    <col min="1" max="1" width="80" style="976" customWidth="1"/>
    <col min="2" max="2" width="18.5" style="976" customWidth="1"/>
    <col min="3" max="3" width="30" style="976" customWidth="1"/>
    <col min="4" max="16384" width="9.33203125" style="976"/>
  </cols>
  <sheetData>
    <row r="1" spans="1:3" ht="25.5" customHeight="1">
      <c r="A1" s="1359" t="s">
        <v>951</v>
      </c>
      <c r="B1" s="1359"/>
      <c r="C1" s="1359"/>
    </row>
    <row r="2" spans="1:3" ht="25.5" customHeight="1">
      <c r="A2" s="1360" t="s">
        <v>952</v>
      </c>
      <c r="B2" s="1360"/>
      <c r="C2" s="1360"/>
    </row>
    <row r="3" spans="1:3" ht="5.25" customHeight="1">
      <c r="A3" s="977"/>
      <c r="B3" s="977"/>
      <c r="C3" s="977"/>
    </row>
    <row r="4" spans="1:3" ht="18" customHeight="1">
      <c r="A4" s="978" t="s">
        <v>953</v>
      </c>
      <c r="B4" s="979"/>
    </row>
    <row r="5" spans="1:3" ht="4.5" customHeight="1">
      <c r="B5" s="980"/>
    </row>
    <row r="6" spans="1:3" ht="24.75" customHeight="1">
      <c r="A6" s="981" t="s">
        <v>954</v>
      </c>
      <c r="B6" s="982"/>
    </row>
    <row r="7" spans="1:3" s="983" customFormat="1" ht="14.1" customHeight="1">
      <c r="A7" s="1357" t="s">
        <v>955</v>
      </c>
      <c r="B7" s="1357"/>
      <c r="C7" s="984" t="s">
        <v>915</v>
      </c>
    </row>
    <row r="8" spans="1:3" ht="18" customHeight="1">
      <c r="A8" s="1358"/>
      <c r="B8" s="1358"/>
      <c r="C8" s="985"/>
    </row>
    <row r="9" spans="1:3" ht="14.1" customHeight="1">
      <c r="A9" s="1357" t="s">
        <v>956</v>
      </c>
      <c r="B9" s="1357"/>
      <c r="C9" s="984" t="s">
        <v>957</v>
      </c>
    </row>
    <row r="10" spans="1:3" ht="18" customHeight="1">
      <c r="A10" s="1358"/>
      <c r="B10" s="1358"/>
      <c r="C10" s="986"/>
    </row>
    <row r="11" spans="1:3" ht="14.1" customHeight="1">
      <c r="A11" s="1357" t="s">
        <v>958</v>
      </c>
      <c r="B11" s="1357"/>
      <c r="C11" s="984" t="s">
        <v>913</v>
      </c>
    </row>
    <row r="12" spans="1:3" ht="18" customHeight="1">
      <c r="A12" s="1358"/>
      <c r="B12" s="1358"/>
      <c r="C12" s="987"/>
    </row>
    <row r="13" spans="1:3" ht="14.1" customHeight="1">
      <c r="A13" s="1357" t="s">
        <v>959</v>
      </c>
      <c r="B13" s="1357"/>
      <c r="C13" s="984" t="s">
        <v>960</v>
      </c>
    </row>
    <row r="14" spans="1:3" ht="18" customHeight="1">
      <c r="A14" s="1358"/>
      <c r="B14" s="1358"/>
      <c r="C14" s="988"/>
    </row>
    <row r="15" spans="1:3" ht="14.1" customHeight="1">
      <c r="A15" s="1357" t="s">
        <v>961</v>
      </c>
      <c r="B15" s="1357"/>
      <c r="C15" s="984" t="s">
        <v>962</v>
      </c>
    </row>
    <row r="16" spans="1:3" ht="18" customHeight="1">
      <c r="A16" s="1358"/>
      <c r="B16" s="1358"/>
      <c r="C16" s="986"/>
    </row>
    <row r="17" spans="1:3" ht="14.1" customHeight="1">
      <c r="A17" s="1357" t="s">
        <v>963</v>
      </c>
      <c r="B17" s="1357"/>
    </row>
    <row r="18" spans="1:3" ht="18" customHeight="1">
      <c r="A18" s="1361" t="s">
        <v>964</v>
      </c>
      <c r="B18" s="1361"/>
    </row>
    <row r="19" spans="1:3" ht="3.75" customHeight="1">
      <c r="B19" s="982"/>
    </row>
    <row r="20" spans="1:3" ht="18" customHeight="1">
      <c r="A20" s="982" t="s">
        <v>965</v>
      </c>
      <c r="B20" s="982"/>
    </row>
    <row r="21" spans="1:3" ht="14.1" customHeight="1">
      <c r="A21" s="1357" t="s">
        <v>955</v>
      </c>
      <c r="B21" s="1357"/>
      <c r="C21" s="989" t="s">
        <v>915</v>
      </c>
    </row>
    <row r="22" spans="1:3" ht="18" customHeight="1">
      <c r="A22" s="1358"/>
      <c r="B22" s="1358"/>
      <c r="C22" s="990"/>
    </row>
    <row r="23" spans="1:3" ht="14.1" customHeight="1">
      <c r="A23" s="1357" t="s">
        <v>956</v>
      </c>
      <c r="B23" s="1357"/>
      <c r="C23" s="989" t="s">
        <v>957</v>
      </c>
    </row>
    <row r="24" spans="1:3" ht="18" customHeight="1">
      <c r="A24" s="1358"/>
      <c r="B24" s="1358"/>
      <c r="C24" s="991"/>
    </row>
    <row r="25" spans="1:3" ht="14.1" customHeight="1">
      <c r="A25" s="1357" t="s">
        <v>958</v>
      </c>
      <c r="B25" s="1357"/>
      <c r="C25" s="989" t="s">
        <v>913</v>
      </c>
    </row>
    <row r="26" spans="1:3" ht="18" customHeight="1">
      <c r="A26" s="1358"/>
      <c r="B26" s="1358"/>
      <c r="C26" s="979"/>
    </row>
    <row r="27" spans="1:3" ht="14.1" customHeight="1">
      <c r="A27" s="1357" t="s">
        <v>959</v>
      </c>
      <c r="B27" s="1357"/>
      <c r="C27" s="989" t="s">
        <v>960</v>
      </c>
    </row>
    <row r="28" spans="1:3" ht="18" customHeight="1">
      <c r="A28" s="1358"/>
      <c r="B28" s="1358"/>
      <c r="C28" s="992"/>
    </row>
    <row r="29" spans="1:3" ht="14.1" customHeight="1">
      <c r="A29" s="1357" t="s">
        <v>961</v>
      </c>
      <c r="B29" s="1357"/>
      <c r="C29" s="989" t="s">
        <v>962</v>
      </c>
    </row>
    <row r="30" spans="1:3" ht="18" customHeight="1">
      <c r="A30" s="1358"/>
      <c r="B30" s="1358"/>
      <c r="C30" s="991"/>
    </row>
    <row r="31" spans="1:3" ht="5.25" customHeight="1">
      <c r="A31" s="982"/>
      <c r="B31" s="993"/>
    </row>
    <row r="32" spans="1:3" ht="14.1" customHeight="1">
      <c r="A32" s="1357" t="s">
        <v>966</v>
      </c>
      <c r="B32" s="1357"/>
    </row>
    <row r="33" spans="1:2" ht="18" customHeight="1">
      <c r="A33" s="1358"/>
      <c r="B33" s="1358"/>
    </row>
    <row r="34" spans="1:2" ht="14.1" customHeight="1">
      <c r="A34" s="1357" t="s">
        <v>967</v>
      </c>
      <c r="B34" s="1357"/>
    </row>
    <row r="35" spans="1:2" ht="18" customHeight="1">
      <c r="A35" s="1358"/>
      <c r="B35" s="1358"/>
    </row>
    <row r="36" spans="1:2" ht="14.1" customHeight="1">
      <c r="A36" s="1357" t="s">
        <v>968</v>
      </c>
      <c r="B36" s="1357"/>
    </row>
    <row r="37" spans="1:2" ht="18" customHeight="1">
      <c r="A37" s="1358"/>
      <c r="B37" s="1358"/>
    </row>
    <row r="38" spans="1:2" ht="14.1" customHeight="1">
      <c r="A38" s="1357" t="s">
        <v>969</v>
      </c>
      <c r="B38" s="1357"/>
    </row>
    <row r="39" spans="1:2" s="994" customFormat="1" ht="18" customHeight="1">
      <c r="A39" s="1358"/>
      <c r="B39" s="1358"/>
    </row>
    <row r="40" spans="1:2" s="994" customFormat="1" ht="14.1" customHeight="1">
      <c r="A40" s="1357" t="s">
        <v>970</v>
      </c>
      <c r="B40" s="1357"/>
    </row>
    <row r="41" spans="1:2" s="994" customFormat="1" ht="18" customHeight="1">
      <c r="A41" s="1358"/>
      <c r="B41" s="1358"/>
    </row>
    <row r="42" spans="1:2" s="994" customFormat="1" ht="14.1" customHeight="1">
      <c r="A42" s="1357" t="s">
        <v>971</v>
      </c>
      <c r="B42" s="1357"/>
    </row>
    <row r="43" spans="1:2" s="994" customFormat="1" ht="18" customHeight="1">
      <c r="A43" s="1358"/>
      <c r="B43" s="1358"/>
    </row>
    <row r="44" spans="1:2" s="994" customFormat="1" ht="14.1" customHeight="1">
      <c r="A44" s="1357" t="s">
        <v>972</v>
      </c>
      <c r="B44" s="1357"/>
    </row>
    <row r="45" spans="1:2" s="994" customFormat="1" ht="18" customHeight="1">
      <c r="A45" s="1358"/>
      <c r="B45" s="1358"/>
    </row>
    <row r="46" spans="1:2" customFormat="1" ht="9" customHeight="1"/>
    <row r="47" spans="1:2">
      <c r="A47" s="995" t="s">
        <v>973</v>
      </c>
    </row>
    <row r="48" spans="1:2" ht="18" customHeight="1">
      <c r="A48" s="976" t="s">
        <v>974</v>
      </c>
    </row>
    <row r="49" spans="1:3" ht="27" customHeight="1">
      <c r="A49" s="976" t="s">
        <v>976</v>
      </c>
    </row>
    <row r="50" spans="1:3" ht="18" customHeight="1">
      <c r="A50" s="976" t="s">
        <v>977</v>
      </c>
    </row>
    <row r="51" spans="1:3" ht="18" customHeight="1">
      <c r="A51" s="976" t="s">
        <v>978</v>
      </c>
    </row>
    <row r="52" spans="1:3" ht="18" customHeight="1">
      <c r="A52" s="976" t="s">
        <v>979</v>
      </c>
    </row>
    <row r="53" spans="1:3" ht="18" customHeight="1">
      <c r="A53" s="976" t="s">
        <v>980</v>
      </c>
    </row>
    <row r="54" spans="1:3" ht="18" customHeight="1">
      <c r="A54" s="976" t="s">
        <v>981</v>
      </c>
    </row>
    <row r="55" spans="1:3" ht="18" customHeight="1">
      <c r="A55" s="976" t="s">
        <v>982</v>
      </c>
    </row>
    <row r="57" spans="1:3" ht="15.75">
      <c r="A57" s="1362" t="s">
        <v>983</v>
      </c>
      <c r="B57" s="1362"/>
      <c r="C57" s="1362"/>
    </row>
    <row r="58" spans="1:3" ht="144" customHeight="1">
      <c r="A58" s="1363" t="s">
        <v>986</v>
      </c>
      <c r="B58" s="1363"/>
      <c r="C58" s="1363"/>
    </row>
    <row r="59" spans="1:3">
      <c r="A59" s="1365" t="s">
        <v>987</v>
      </c>
      <c r="B59" s="1365"/>
      <c r="C59" s="1365"/>
    </row>
    <row r="60" spans="1:3" ht="47.25" customHeight="1">
      <c r="A60" s="1364" t="s">
        <v>988</v>
      </c>
      <c r="B60" s="1364"/>
      <c r="C60" s="1364"/>
    </row>
    <row r="61" spans="1:3">
      <c r="A61" s="1365" t="s">
        <v>989</v>
      </c>
      <c r="B61" s="1365"/>
      <c r="C61" s="1365"/>
    </row>
    <row r="62" spans="1:3" ht="46.5" customHeight="1">
      <c r="A62" s="1364" t="s">
        <v>988</v>
      </c>
      <c r="B62" s="1364"/>
      <c r="C62" s="1364"/>
    </row>
    <row r="63" spans="1:3" ht="62.25" customHeight="1">
      <c r="A63" s="1364" t="s">
        <v>990</v>
      </c>
      <c r="B63" s="1364"/>
      <c r="C63" s="1364"/>
    </row>
    <row r="64" spans="1:3">
      <c r="A64" s="1365" t="s">
        <v>991</v>
      </c>
      <c r="B64" s="1365"/>
      <c r="C64" s="1365"/>
    </row>
    <row r="65" spans="1:3" ht="59.25" customHeight="1">
      <c r="A65" s="1364" t="s">
        <v>992</v>
      </c>
      <c r="B65" s="1364"/>
      <c r="C65" s="1364"/>
    </row>
    <row r="66" spans="1:3">
      <c r="A66" s="1365" t="s">
        <v>993</v>
      </c>
      <c r="B66" s="1365"/>
      <c r="C66" s="1365"/>
    </row>
    <row r="67" spans="1:3" ht="29.25" customHeight="1">
      <c r="A67" s="1364" t="s">
        <v>994</v>
      </c>
      <c r="B67" s="1364"/>
      <c r="C67" s="1364"/>
    </row>
    <row r="68" spans="1:3">
      <c r="A68" s="1365" t="s">
        <v>995</v>
      </c>
      <c r="B68" s="1365"/>
      <c r="C68" s="1365"/>
    </row>
    <row r="69" spans="1:3">
      <c r="A69" s="1364" t="s">
        <v>996</v>
      </c>
      <c r="B69" s="1364"/>
      <c r="C69" s="1364"/>
    </row>
    <row r="70" spans="1:3">
      <c r="A70" s="1365" t="s">
        <v>997</v>
      </c>
      <c r="B70" s="1365"/>
      <c r="C70" s="1365"/>
    </row>
    <row r="71" spans="1:3" ht="29.25" customHeight="1">
      <c r="A71" s="1364" t="s">
        <v>998</v>
      </c>
      <c r="B71" s="1364"/>
      <c r="C71" s="1364"/>
    </row>
    <row r="72" spans="1:3">
      <c r="A72" s="1365" t="s">
        <v>999</v>
      </c>
      <c r="B72" s="1365"/>
      <c r="C72" s="1365"/>
    </row>
    <row r="73" spans="1:3">
      <c r="A73" s="1364" t="s">
        <v>1000</v>
      </c>
      <c r="B73" s="1364"/>
      <c r="C73" s="1364"/>
    </row>
    <row r="74" spans="1:3">
      <c r="A74" s="1365" t="s">
        <v>1001</v>
      </c>
      <c r="B74" s="1365"/>
      <c r="C74" s="1365"/>
    </row>
    <row r="75" spans="1:3">
      <c r="A75" s="1364" t="s">
        <v>1002</v>
      </c>
      <c r="B75" s="1364"/>
      <c r="C75" s="1364"/>
    </row>
    <row r="76" spans="1:3">
      <c r="A76" s="1365" t="s">
        <v>1003</v>
      </c>
      <c r="B76" s="1365"/>
      <c r="C76" s="1365"/>
    </row>
    <row r="77" spans="1:3">
      <c r="A77" s="1364" t="s">
        <v>1004</v>
      </c>
      <c r="B77" s="1364"/>
      <c r="C77" s="1364"/>
    </row>
    <row r="78" spans="1:3">
      <c r="A78" s="1365" t="s">
        <v>1005</v>
      </c>
      <c r="B78" s="1365"/>
      <c r="C78" s="1365"/>
    </row>
    <row r="79" spans="1:3" ht="30.75" customHeight="1">
      <c r="A79" s="1364" t="s">
        <v>1006</v>
      </c>
      <c r="B79" s="1364"/>
      <c r="C79" s="1364"/>
    </row>
    <row r="80" spans="1:3">
      <c r="A80" s="1365" t="s">
        <v>1007</v>
      </c>
      <c r="B80" s="1365"/>
      <c r="C80" s="1365"/>
    </row>
    <row r="81" spans="1:3">
      <c r="A81" s="1364" t="s">
        <v>1008</v>
      </c>
      <c r="B81" s="1364"/>
      <c r="C81" s="1364"/>
    </row>
    <row r="82" spans="1:3">
      <c r="A82" s="1365" t="s">
        <v>1009</v>
      </c>
      <c r="B82" s="1365"/>
      <c r="C82" s="1365"/>
    </row>
    <row r="83" spans="1:3" ht="30.75" customHeight="1">
      <c r="A83" s="1364" t="s">
        <v>1010</v>
      </c>
      <c r="B83" s="1364"/>
      <c r="C83" s="1364"/>
    </row>
    <row r="84" spans="1:3">
      <c r="A84" s="1365" t="s">
        <v>1011</v>
      </c>
      <c r="B84" s="1365"/>
      <c r="C84" s="1365"/>
    </row>
    <row r="85" spans="1:3" ht="29.25" customHeight="1">
      <c r="A85" s="1364" t="s">
        <v>1012</v>
      </c>
      <c r="B85" s="1364"/>
      <c r="C85" s="1364"/>
    </row>
    <row r="86" spans="1:3">
      <c r="A86" s="1365" t="s">
        <v>1013</v>
      </c>
      <c r="B86" s="1365"/>
      <c r="C86" s="1365"/>
    </row>
    <row r="87" spans="1:3" ht="30" customHeight="1">
      <c r="A87" s="1364" t="s">
        <v>1014</v>
      </c>
      <c r="B87" s="1364"/>
      <c r="C87" s="1364"/>
    </row>
    <row r="88" spans="1:3">
      <c r="A88" s="1365" t="s">
        <v>1015</v>
      </c>
      <c r="B88" s="1365"/>
      <c r="C88" s="1365"/>
    </row>
    <row r="89" spans="1:3" ht="31.5" customHeight="1">
      <c r="A89" s="1364" t="s">
        <v>1016</v>
      </c>
      <c r="B89" s="1364"/>
      <c r="C89" s="1364"/>
    </row>
    <row r="90" spans="1:3">
      <c r="A90" s="1365" t="s">
        <v>1017</v>
      </c>
      <c r="B90" s="1365"/>
      <c r="C90" s="1365"/>
    </row>
    <row r="91" spans="1:3" ht="28.5" customHeight="1">
      <c r="A91" s="1364" t="s">
        <v>1018</v>
      </c>
      <c r="B91" s="1364"/>
      <c r="C91" s="1364"/>
    </row>
    <row r="92" spans="1:3">
      <c r="A92" s="1365" t="s">
        <v>1019</v>
      </c>
      <c r="B92" s="1365"/>
      <c r="C92" s="1365"/>
    </row>
    <row r="93" spans="1:3" ht="29.25" customHeight="1">
      <c r="A93" s="1364" t="s">
        <v>1020</v>
      </c>
      <c r="B93" s="1364"/>
      <c r="C93" s="1364"/>
    </row>
    <row r="94" spans="1:3">
      <c r="A94" s="1365" t="s">
        <v>1021</v>
      </c>
      <c r="B94" s="1365"/>
      <c r="C94" s="1365"/>
    </row>
    <row r="95" spans="1:3" ht="30" customHeight="1">
      <c r="A95" s="1364" t="s">
        <v>1022</v>
      </c>
      <c r="B95" s="1364"/>
      <c r="C95" s="1364"/>
    </row>
    <row r="96" spans="1:3">
      <c r="A96" s="1365" t="s">
        <v>1023</v>
      </c>
      <c r="B96" s="1365"/>
      <c r="C96" s="1365"/>
    </row>
    <row r="97" spans="1:4">
      <c r="A97" s="1364" t="s">
        <v>1024</v>
      </c>
      <c r="B97" s="1364"/>
      <c r="C97" s="1364"/>
    </row>
    <row r="98" spans="1:4">
      <c r="A98" s="1365" t="s">
        <v>917</v>
      </c>
      <c r="B98" s="1365"/>
      <c r="C98" s="1365"/>
    </row>
    <row r="99" spans="1:4" ht="31.5" customHeight="1">
      <c r="A99" s="1364" t="s">
        <v>1025</v>
      </c>
      <c r="B99" s="1364"/>
      <c r="C99" s="1364"/>
    </row>
    <row r="100" spans="1:4" s="998" customFormat="1" ht="1.5" customHeight="1">
      <c r="A100" s="997"/>
      <c r="B100" s="997"/>
      <c r="C100" s="997"/>
      <c r="D100" s="996"/>
    </row>
    <row r="101" spans="1:4" customFormat="1" ht="14.25" customHeight="1"/>
    <row r="102" spans="1:4" customFormat="1" ht="14.25" customHeight="1">
      <c r="A102" s="999" t="s">
        <v>1026</v>
      </c>
    </row>
    <row r="103" spans="1:4" ht="30">
      <c r="A103" s="1000" t="s">
        <v>1027</v>
      </c>
    </row>
    <row r="105" spans="1:4">
      <c r="A105" s="1001" t="s">
        <v>1032</v>
      </c>
      <c r="B105"/>
    </row>
    <row r="106" spans="1:4">
      <c r="A106" s="1001" t="s">
        <v>1028</v>
      </c>
      <c r="B106" s="1006"/>
      <c r="C106" s="1005"/>
      <c r="D106" s="1005"/>
    </row>
    <row r="107" spans="1:4">
      <c r="A107" s="1001" t="s">
        <v>1029</v>
      </c>
      <c r="B107" s="1366"/>
      <c r="C107" s="1367"/>
      <c r="D107" s="1007"/>
    </row>
    <row r="108" spans="1:4">
      <c r="A108" s="1001"/>
      <c r="B108" s="1002"/>
      <c r="C108" s="1002"/>
      <c r="D108" s="1002"/>
    </row>
    <row r="109" spans="1:4">
      <c r="A109" s="976" t="s">
        <v>1033</v>
      </c>
    </row>
    <row r="110" spans="1:4">
      <c r="B110" s="1003" t="s">
        <v>1030</v>
      </c>
    </row>
    <row r="111" spans="1:4" ht="30">
      <c r="A111" s="1004" t="s">
        <v>1034</v>
      </c>
      <c r="B111" s="1003" t="s">
        <v>1031</v>
      </c>
    </row>
    <row r="112" spans="1:4">
      <c r="A112" s="976" t="s">
        <v>1035</v>
      </c>
    </row>
    <row r="113" spans="2:2">
      <c r="B113" s="1003" t="s">
        <v>1031</v>
      </c>
    </row>
  </sheetData>
  <mergeCells count="82">
    <mergeCell ref="A80:C80"/>
    <mergeCell ref="A75:C75"/>
    <mergeCell ref="A87:C87"/>
    <mergeCell ref="A90:C90"/>
    <mergeCell ref="A92:C92"/>
    <mergeCell ref="A89:C89"/>
    <mergeCell ref="A88:C88"/>
    <mergeCell ref="A59:C59"/>
    <mergeCell ref="A60:C60"/>
    <mergeCell ref="A62:C62"/>
    <mergeCell ref="A63:C63"/>
    <mergeCell ref="A65:C65"/>
    <mergeCell ref="A77:C77"/>
    <mergeCell ref="A79:C79"/>
    <mergeCell ref="A66:C66"/>
    <mergeCell ref="A64:C64"/>
    <mergeCell ref="A61:C61"/>
    <mergeCell ref="A74:C74"/>
    <mergeCell ref="A76:C76"/>
    <mergeCell ref="A78:C78"/>
    <mergeCell ref="A99:C99"/>
    <mergeCell ref="B107:C107"/>
    <mergeCell ref="A91:C91"/>
    <mergeCell ref="A93:C93"/>
    <mergeCell ref="A95:C95"/>
    <mergeCell ref="A97:C97"/>
    <mergeCell ref="A98:C98"/>
    <mergeCell ref="A96:C96"/>
    <mergeCell ref="A94:C94"/>
    <mergeCell ref="A81:C81"/>
    <mergeCell ref="A82:C82"/>
    <mergeCell ref="A84:C84"/>
    <mergeCell ref="A86:C86"/>
    <mergeCell ref="A83:C83"/>
    <mergeCell ref="A85:C85"/>
    <mergeCell ref="A67:C67"/>
    <mergeCell ref="A69:C69"/>
    <mergeCell ref="A71:C71"/>
    <mergeCell ref="A73:C73"/>
    <mergeCell ref="A68:C68"/>
    <mergeCell ref="A70:C70"/>
    <mergeCell ref="A72:C72"/>
    <mergeCell ref="A44:B44"/>
    <mergeCell ref="A45:B45"/>
    <mergeCell ref="A57:C57"/>
    <mergeCell ref="A58:C58"/>
    <mergeCell ref="A40:B40"/>
    <mergeCell ref="A41:B41"/>
    <mergeCell ref="A42:B42"/>
    <mergeCell ref="A43:B43"/>
    <mergeCell ref="A36:B36"/>
    <mergeCell ref="A37:B37"/>
    <mergeCell ref="A38:B38"/>
    <mergeCell ref="A39:B39"/>
    <mergeCell ref="A32:B32"/>
    <mergeCell ref="A33:B33"/>
    <mergeCell ref="A34:B34"/>
    <mergeCell ref="A35:B35"/>
    <mergeCell ref="A27:B27"/>
    <mergeCell ref="A28:B28"/>
    <mergeCell ref="A29:B29"/>
    <mergeCell ref="A30:B30"/>
    <mergeCell ref="A23:B23"/>
    <mergeCell ref="A24:B24"/>
    <mergeCell ref="A25:B25"/>
    <mergeCell ref="A26:B26"/>
    <mergeCell ref="A17:B17"/>
    <mergeCell ref="A18:B18"/>
    <mergeCell ref="A21:B21"/>
    <mergeCell ref="A22:B22"/>
    <mergeCell ref="A13:B13"/>
    <mergeCell ref="A14:B14"/>
    <mergeCell ref="A15:B15"/>
    <mergeCell ref="A16:B16"/>
    <mergeCell ref="A9:B9"/>
    <mergeCell ref="A10:B10"/>
    <mergeCell ref="A11:B11"/>
    <mergeCell ref="A12:B12"/>
    <mergeCell ref="A1:C1"/>
    <mergeCell ref="A2:C2"/>
    <mergeCell ref="A7:B7"/>
    <mergeCell ref="A8:B8"/>
  </mergeCells>
  <phoneticPr fontId="140" type="noConversion"/>
  <printOptions horizontalCentered="1"/>
  <pageMargins left="7.0000000000000007E-2" right="7.0000000000000007E-2" top="0.37" bottom="7.0000000000000007E-2" header="7.0000000000000007E-2" footer="7.0000000000000007E-2"/>
  <pageSetup scale="86" orientation="portrait" blackAndWhite="1" r:id="rId1"/>
  <headerFooter alignWithMargins="0">
    <oddHeader>&amp;C&amp;"Times New Roman,Bold"&amp;12EXHIBIT 31A: ONESTOP APPLICATION</oddHeader>
    <oddFooter>&amp;L&amp;"Times New Roman,Regular"&amp;10Exhibit 31A&amp;R&amp;"Times New Roman,Regular"&amp;10Page &amp;P</oddFooter>
  </headerFooter>
  <rowBreaks count="2" manualBreakCount="2">
    <brk id="55" max="3" man="1"/>
    <brk id="87"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I200"/>
  <sheetViews>
    <sheetView zoomScaleNormal="100" workbookViewId="0">
      <selection activeCell="I19" sqref="I19"/>
    </sheetView>
  </sheetViews>
  <sheetFormatPr defaultRowHeight="24.95" customHeight="1"/>
  <cols>
    <col min="1" max="1" width="27.33203125" style="956" customWidth="1"/>
    <col min="2" max="2" width="23.5" style="956" customWidth="1"/>
    <col min="3" max="3" width="20.6640625" style="956" customWidth="1"/>
    <col min="4" max="4" width="22" style="956" customWidth="1"/>
    <col min="5" max="5" width="23" style="956" customWidth="1"/>
    <col min="6" max="6" width="23.1640625" style="956" customWidth="1"/>
    <col min="7" max="7" width="22.83203125" style="956" customWidth="1"/>
    <col min="8" max="8" width="16.5" style="956" customWidth="1"/>
    <col min="9" max="9" width="22.83203125" style="956" customWidth="1"/>
    <col min="10" max="16384" width="9.33203125" style="956"/>
  </cols>
  <sheetData>
    <row r="1" spans="1:9" ht="16.5" customHeight="1">
      <c r="A1" s="955" t="s">
        <v>809</v>
      </c>
    </row>
    <row r="2" spans="1:9" ht="24.95" customHeight="1">
      <c r="A2" s="957" t="s">
        <v>810</v>
      </c>
      <c r="B2" s="957" t="s">
        <v>811</v>
      </c>
      <c r="C2" s="957" t="s">
        <v>812</v>
      </c>
      <c r="D2" s="957" t="s">
        <v>813</v>
      </c>
      <c r="E2" s="1370" t="s">
        <v>814</v>
      </c>
      <c r="F2" s="1370"/>
      <c r="G2" s="1370"/>
    </row>
    <row r="3" spans="1:9" ht="29.1" customHeight="1">
      <c r="A3" s="958"/>
      <c r="B3" s="1013"/>
      <c r="C3" s="1014"/>
      <c r="D3" s="958"/>
      <c r="E3" s="1368"/>
      <c r="F3" s="1368"/>
      <c r="G3" s="1368"/>
    </row>
    <row r="4" spans="1:9" ht="29.1" customHeight="1">
      <c r="A4" s="959"/>
      <c r="B4" s="1013"/>
      <c r="C4" s="1013"/>
      <c r="D4" s="959"/>
      <c r="E4" s="1368"/>
      <c r="F4" s="1368"/>
      <c r="G4" s="1368"/>
    </row>
    <row r="5" spans="1:9" ht="29.1" customHeight="1">
      <c r="A5" s="959"/>
      <c r="B5" s="1013"/>
      <c r="C5" s="1013"/>
      <c r="D5" s="959"/>
      <c r="E5" s="1368"/>
      <c r="F5" s="1368"/>
      <c r="G5" s="1368"/>
    </row>
    <row r="6" spans="1:9" ht="29.1" customHeight="1">
      <c r="A6" s="959"/>
      <c r="B6" s="1013"/>
      <c r="C6" s="1013"/>
      <c r="D6" s="959"/>
      <c r="E6" s="1368"/>
      <c r="F6" s="1368"/>
      <c r="G6" s="1368"/>
    </row>
    <row r="7" spans="1:9" ht="29.1" customHeight="1">
      <c r="A7" s="959"/>
      <c r="B7" s="1013"/>
      <c r="C7" s="1013"/>
      <c r="D7" s="959"/>
      <c r="E7" s="1368"/>
      <c r="F7" s="1368"/>
      <c r="G7" s="1368"/>
    </row>
    <row r="8" spans="1:9" ht="29.1" customHeight="1">
      <c r="A8" s="959"/>
      <c r="B8" s="1013"/>
      <c r="C8" s="1013"/>
      <c r="D8" s="959"/>
      <c r="E8" s="1368"/>
      <c r="F8" s="1368"/>
      <c r="G8" s="1368"/>
    </row>
    <row r="9" spans="1:9" ht="26.1" customHeight="1">
      <c r="A9" s="961" t="s">
        <v>1260</v>
      </c>
      <c r="B9" s="1015">
        <f>SUM(B3:B8)</f>
        <v>0</v>
      </c>
      <c r="C9" s="1015">
        <f>SUM(C3:C8)</f>
        <v>0</v>
      </c>
      <c r="D9" s="961"/>
      <c r="E9" s="1369"/>
      <c r="F9" s="1369"/>
      <c r="G9" s="1369"/>
    </row>
    <row r="10" spans="1:9" ht="15.75">
      <c r="A10" s="955" t="s">
        <v>815</v>
      </c>
    </row>
    <row r="11" spans="1:9" ht="24.95" customHeight="1">
      <c r="A11" s="963" t="s">
        <v>816</v>
      </c>
      <c r="B11" s="963" t="s">
        <v>817</v>
      </c>
      <c r="C11" s="963" t="s">
        <v>818</v>
      </c>
      <c r="D11" s="963" t="s">
        <v>819</v>
      </c>
      <c r="E11" s="1373" t="s">
        <v>820</v>
      </c>
      <c r="F11" s="1374"/>
      <c r="G11" s="957" t="s">
        <v>821</v>
      </c>
      <c r="H11" s="1375" t="s">
        <v>786</v>
      </c>
      <c r="I11" s="1375"/>
    </row>
    <row r="12" spans="1:9" ht="29.1" customHeight="1">
      <c r="A12" s="958"/>
      <c r="B12" s="958"/>
      <c r="C12" s="1013"/>
      <c r="D12" s="1013"/>
      <c r="E12" s="1371"/>
      <c r="F12" s="1371"/>
      <c r="G12" s="1013"/>
      <c r="H12" s="1372"/>
      <c r="I12" s="1372"/>
    </row>
    <row r="13" spans="1:9" ht="29.1" customHeight="1">
      <c r="A13" s="959"/>
      <c r="B13" s="959"/>
      <c r="C13" s="1013"/>
      <c r="D13" s="1013"/>
      <c r="E13" s="1371"/>
      <c r="F13" s="1371"/>
      <c r="G13" s="1013"/>
      <c r="H13" s="1372"/>
      <c r="I13" s="1372"/>
    </row>
    <row r="14" spans="1:9" ht="29.1" customHeight="1">
      <c r="A14" s="959"/>
      <c r="B14" s="959"/>
      <c r="C14" s="1013"/>
      <c r="D14" s="1013"/>
      <c r="E14" s="1371"/>
      <c r="F14" s="1371"/>
      <c r="G14" s="1013"/>
      <c r="H14" s="1372"/>
      <c r="I14" s="1372"/>
    </row>
    <row r="15" spans="1:9" ht="29.1" customHeight="1">
      <c r="A15" s="959"/>
      <c r="B15" s="959"/>
      <c r="C15" s="1013"/>
      <c r="D15" s="1013"/>
      <c r="E15" s="1371"/>
      <c r="F15" s="1371"/>
      <c r="G15" s="1013"/>
      <c r="H15" s="1372"/>
      <c r="I15" s="1372"/>
    </row>
    <row r="16" spans="1:9" ht="29.1" customHeight="1">
      <c r="A16" s="959"/>
      <c r="B16" s="959"/>
      <c r="C16" s="1013"/>
      <c r="D16" s="1013"/>
      <c r="E16" s="1371"/>
      <c r="F16" s="1371"/>
      <c r="G16" s="1013"/>
      <c r="H16" s="1372"/>
      <c r="I16" s="1372"/>
    </row>
    <row r="17" spans="1:9" ht="29.1" customHeight="1">
      <c r="A17" s="959"/>
      <c r="B17" s="959"/>
      <c r="C17" s="1013"/>
      <c r="D17" s="1013"/>
      <c r="E17" s="1371"/>
      <c r="F17" s="1371"/>
      <c r="G17" s="1013"/>
      <c r="H17" s="1372"/>
      <c r="I17" s="1372"/>
    </row>
    <row r="18" spans="1:9" ht="26.1" customHeight="1">
      <c r="A18" s="961" t="s">
        <v>1260</v>
      </c>
      <c r="B18" s="961"/>
      <c r="C18" s="1015">
        <f>SUM(C12:C17)</f>
        <v>0</v>
      </c>
      <c r="D18" s="1015">
        <f>SUM(D12:D17)</f>
        <v>0</v>
      </c>
      <c r="E18" s="1376"/>
      <c r="F18" s="1376"/>
      <c r="G18" s="1015">
        <f>SUM(G12:G17)</f>
        <v>0</v>
      </c>
      <c r="H18" s="1377"/>
      <c r="I18" s="1377"/>
    </row>
    <row r="19" spans="1:9" ht="15.75">
      <c r="A19" s="955" t="s">
        <v>822</v>
      </c>
    </row>
    <row r="20" spans="1:9" ht="24.95" customHeight="1">
      <c r="A20" s="963" t="s">
        <v>817</v>
      </c>
      <c r="B20" s="957" t="s">
        <v>823</v>
      </c>
      <c r="C20" s="963" t="s">
        <v>818</v>
      </c>
      <c r="D20" s="963" t="s">
        <v>824</v>
      </c>
      <c r="E20" s="1373" t="s">
        <v>825</v>
      </c>
      <c r="F20" s="1374"/>
      <c r="G20" s="1370" t="s">
        <v>786</v>
      </c>
      <c r="H20" s="1370"/>
    </row>
    <row r="21" spans="1:9" ht="29.1" customHeight="1">
      <c r="A21" s="958"/>
      <c r="B21" s="967"/>
      <c r="C21" s="1014"/>
      <c r="D21" s="1014"/>
      <c r="E21" s="1378"/>
      <c r="F21" s="1378"/>
      <c r="G21" s="1368"/>
      <c r="H21" s="1368"/>
    </row>
    <row r="22" spans="1:9" ht="29.1" customHeight="1">
      <c r="A22" s="959"/>
      <c r="B22" s="968"/>
      <c r="C22" s="1013"/>
      <c r="D22" s="1013"/>
      <c r="E22" s="1378"/>
      <c r="F22" s="1378"/>
      <c r="G22" s="1368"/>
      <c r="H22" s="1368"/>
    </row>
    <row r="23" spans="1:9" ht="29.1" customHeight="1">
      <c r="A23" s="959"/>
      <c r="B23" s="968"/>
      <c r="C23" s="1013"/>
      <c r="D23" s="1013"/>
      <c r="E23" s="1378"/>
      <c r="F23" s="1378"/>
      <c r="G23" s="1368"/>
      <c r="H23" s="1368"/>
    </row>
    <row r="24" spans="1:9" ht="29.1" customHeight="1">
      <c r="A24" s="959"/>
      <c r="B24" s="968"/>
      <c r="C24" s="1013"/>
      <c r="D24" s="1013"/>
      <c r="E24" s="1378"/>
      <c r="F24" s="1378"/>
      <c r="G24" s="1368"/>
      <c r="H24" s="1368"/>
    </row>
    <row r="25" spans="1:9" ht="29.1" customHeight="1">
      <c r="A25" s="959"/>
      <c r="B25" s="968"/>
      <c r="C25" s="1013"/>
      <c r="D25" s="1013"/>
      <c r="E25" s="1378"/>
      <c r="F25" s="1378"/>
      <c r="G25" s="1368"/>
      <c r="H25" s="1368"/>
    </row>
    <row r="26" spans="1:9" ht="29.1" customHeight="1">
      <c r="A26" s="959"/>
      <c r="B26" s="968"/>
      <c r="C26" s="1013"/>
      <c r="D26" s="1013"/>
      <c r="E26" s="1378"/>
      <c r="F26" s="1378"/>
      <c r="G26" s="1368"/>
      <c r="H26" s="1368"/>
    </row>
    <row r="27" spans="1:9" ht="26.1" customHeight="1">
      <c r="A27" s="961" t="s">
        <v>1260</v>
      </c>
      <c r="B27" s="961"/>
      <c r="C27" s="1015">
        <f>SUM(C21:C26)</f>
        <v>0</v>
      </c>
      <c r="D27" s="1015">
        <f>SUM(D21:D26)</f>
        <v>0</v>
      </c>
      <c r="E27" s="1379">
        <f>SUM(E21:F26)</f>
        <v>0</v>
      </c>
      <c r="F27" s="1379"/>
      <c r="G27" s="1369"/>
      <c r="H27" s="1369"/>
    </row>
    <row r="28" spans="1:9" ht="15.75">
      <c r="A28" s="955" t="s">
        <v>826</v>
      </c>
    </row>
    <row r="29" spans="1:9" ht="24.95" customHeight="1">
      <c r="A29" s="1370" t="s">
        <v>827</v>
      </c>
      <c r="B29" s="1370"/>
      <c r="C29" s="957" t="s">
        <v>828</v>
      </c>
      <c r="D29" s="957" t="s">
        <v>829</v>
      </c>
      <c r="E29" s="1370" t="s">
        <v>786</v>
      </c>
      <c r="F29" s="1370"/>
      <c r="G29" s="103"/>
      <c r="H29" s="103"/>
    </row>
    <row r="30" spans="1:9" ht="29.1" customHeight="1">
      <c r="A30" s="1368"/>
      <c r="B30" s="1368"/>
      <c r="C30" s="960"/>
      <c r="D30" s="960"/>
      <c r="E30" s="1368"/>
      <c r="F30" s="1368"/>
      <c r="G30" s="103"/>
      <c r="H30" s="103"/>
    </row>
    <row r="31" spans="1:9" ht="29.1" customHeight="1">
      <c r="A31" s="1368"/>
      <c r="B31" s="1368"/>
      <c r="C31" s="960"/>
      <c r="D31" s="960"/>
      <c r="E31" s="1368"/>
      <c r="F31" s="1368"/>
      <c r="G31" s="103"/>
      <c r="H31" s="103"/>
    </row>
    <row r="32" spans="1:9" ht="29.1" customHeight="1">
      <c r="A32" s="1368"/>
      <c r="B32" s="1368"/>
      <c r="C32" s="960"/>
      <c r="D32" s="960"/>
      <c r="E32" s="1368"/>
      <c r="F32" s="1368"/>
      <c r="G32" s="103"/>
      <c r="H32" s="103"/>
    </row>
    <row r="33" spans="1:9" ht="29.1" customHeight="1">
      <c r="A33" s="1368"/>
      <c r="B33" s="1368"/>
      <c r="C33" s="960"/>
      <c r="D33" s="960"/>
      <c r="E33" s="1368"/>
      <c r="F33" s="1368"/>
      <c r="G33" s="103"/>
      <c r="H33" s="103"/>
    </row>
    <row r="34" spans="1:9" ht="23.1" customHeight="1">
      <c r="A34" s="1369" t="s">
        <v>1260</v>
      </c>
      <c r="B34" s="1369"/>
      <c r="C34" s="1016">
        <f>SUM(C30:C33)</f>
        <v>0</v>
      </c>
      <c r="D34" s="1016">
        <f>SUM(D30:D33)</f>
        <v>0</v>
      </c>
      <c r="E34" s="1369"/>
      <c r="F34" s="1369"/>
      <c r="G34" s="103"/>
      <c r="H34" s="103"/>
    </row>
    <row r="35" spans="1:9" ht="20.25" customHeight="1">
      <c r="A35" s="955" t="s">
        <v>830</v>
      </c>
    </row>
    <row r="36" spans="1:9" ht="18" customHeight="1">
      <c r="A36" s="963" t="s">
        <v>831</v>
      </c>
      <c r="B36" s="957" t="s">
        <v>832</v>
      </c>
      <c r="C36" s="963" t="s">
        <v>833</v>
      </c>
      <c r="D36" s="963" t="s">
        <v>834</v>
      </c>
      <c r="E36" s="964" t="s">
        <v>819</v>
      </c>
      <c r="F36" s="957" t="s">
        <v>835</v>
      </c>
      <c r="G36" s="963" t="s">
        <v>836</v>
      </c>
      <c r="H36" s="1380" t="s">
        <v>837</v>
      </c>
      <c r="I36" s="1381"/>
    </row>
    <row r="37" spans="1:9" ht="29.1" customHeight="1">
      <c r="A37" s="958"/>
      <c r="B37" s="958"/>
      <c r="C37" s="958"/>
      <c r="D37" s="1013"/>
      <c r="E37" s="1013"/>
      <c r="F37" s="1013"/>
      <c r="G37" s="969"/>
      <c r="H37" s="1382"/>
      <c r="I37" s="1383"/>
    </row>
    <row r="38" spans="1:9" ht="29.1" customHeight="1">
      <c r="A38" s="959"/>
      <c r="B38" s="959"/>
      <c r="C38" s="959"/>
      <c r="D38" s="1013"/>
      <c r="E38" s="1013"/>
      <c r="F38" s="1013"/>
      <c r="G38" s="969"/>
      <c r="H38" s="1382"/>
      <c r="I38" s="1383"/>
    </row>
    <row r="39" spans="1:9" ht="29.1" customHeight="1">
      <c r="A39" s="959"/>
      <c r="B39" s="959"/>
      <c r="C39" s="959"/>
      <c r="D39" s="1013"/>
      <c r="E39" s="1013"/>
      <c r="F39" s="1013"/>
      <c r="G39" s="969"/>
      <c r="H39" s="1382"/>
      <c r="I39" s="1383"/>
    </row>
    <row r="40" spans="1:9" ht="29.1" customHeight="1">
      <c r="A40" s="959"/>
      <c r="B40" s="959"/>
      <c r="C40" s="959"/>
      <c r="D40" s="1013"/>
      <c r="E40" s="1013"/>
      <c r="F40" s="1013"/>
      <c r="G40" s="969"/>
      <c r="H40" s="1382"/>
      <c r="I40" s="1383"/>
    </row>
    <row r="41" spans="1:9" ht="23.1" customHeight="1">
      <c r="A41" s="961" t="s">
        <v>1260</v>
      </c>
      <c r="B41" s="961"/>
      <c r="C41" s="961"/>
      <c r="D41" s="1015">
        <f>SUM(D37:D40)</f>
        <v>0</v>
      </c>
      <c r="E41" s="1015">
        <f>SUM(E37:E40)</f>
        <v>0</v>
      </c>
      <c r="F41" s="1015">
        <f>SUM(F37:F40)</f>
        <v>0</v>
      </c>
      <c r="G41" s="966"/>
      <c r="H41" s="1384"/>
      <c r="I41" s="1385"/>
    </row>
    <row r="42" spans="1:9" ht="15.75" customHeight="1">
      <c r="A42" s="955" t="s">
        <v>838</v>
      </c>
    </row>
    <row r="43" spans="1:9" ht="24.95" customHeight="1">
      <c r="A43" s="963" t="s">
        <v>831</v>
      </c>
      <c r="B43" s="957" t="s">
        <v>832</v>
      </c>
      <c r="C43" s="957" t="s">
        <v>839</v>
      </c>
      <c r="D43" s="963" t="s">
        <v>833</v>
      </c>
      <c r="E43" s="963" t="s">
        <v>834</v>
      </c>
      <c r="F43" s="964" t="s">
        <v>819</v>
      </c>
      <c r="G43" s="957" t="s">
        <v>835</v>
      </c>
      <c r="H43" s="963" t="s">
        <v>836</v>
      </c>
      <c r="I43" s="963" t="s">
        <v>837</v>
      </c>
    </row>
    <row r="44" spans="1:9" ht="33" customHeight="1">
      <c r="A44" s="958"/>
      <c r="B44" s="958"/>
      <c r="C44" s="970"/>
      <c r="D44" s="958"/>
      <c r="E44" s="1013"/>
      <c r="F44" s="1013"/>
      <c r="G44" s="1013"/>
      <c r="H44" s="969"/>
      <c r="I44" s="965"/>
    </row>
    <row r="45" spans="1:9" ht="33" customHeight="1">
      <c r="A45" s="959"/>
      <c r="B45" s="959"/>
      <c r="C45" s="970"/>
      <c r="D45" s="959"/>
      <c r="E45" s="1013"/>
      <c r="F45" s="1013"/>
      <c r="G45" s="1013"/>
      <c r="H45" s="969"/>
      <c r="I45" s="965"/>
    </row>
    <row r="46" spans="1:9" ht="33" customHeight="1">
      <c r="A46" s="959"/>
      <c r="B46" s="959"/>
      <c r="C46" s="970"/>
      <c r="D46" s="959"/>
      <c r="E46" s="1013"/>
      <c r="F46" s="1013"/>
      <c r="G46" s="1013"/>
      <c r="H46" s="969"/>
      <c r="I46" s="965"/>
    </row>
    <row r="47" spans="1:9" ht="33" customHeight="1">
      <c r="A47" s="959"/>
      <c r="B47" s="959"/>
      <c r="C47" s="970"/>
      <c r="D47" s="959"/>
      <c r="E47" s="1013"/>
      <c r="F47" s="1013"/>
      <c r="G47" s="1013"/>
      <c r="H47" s="969"/>
      <c r="I47" s="965"/>
    </row>
    <row r="48" spans="1:9" ht="23.1" customHeight="1">
      <c r="A48" s="961" t="s">
        <v>1260</v>
      </c>
      <c r="B48" s="961"/>
      <c r="C48" s="961"/>
      <c r="D48" s="961"/>
      <c r="E48" s="1015">
        <f>SUM(E44:E47)</f>
        <v>0</v>
      </c>
      <c r="F48" s="1015">
        <f>SUM(F44:F47)</f>
        <v>0</v>
      </c>
      <c r="G48" s="1015">
        <f>SUM(G44:G47)</f>
        <v>0</v>
      </c>
      <c r="H48" s="966"/>
      <c r="I48" s="966"/>
    </row>
    <row r="49" spans="1:9" ht="13.5" customHeight="1">
      <c r="A49" s="955" t="s">
        <v>840</v>
      </c>
      <c r="H49" s="103"/>
      <c r="I49" s="103"/>
    </row>
    <row r="50" spans="1:9" ht="24.95" customHeight="1">
      <c r="A50" s="963" t="s">
        <v>831</v>
      </c>
      <c r="B50" s="957" t="s">
        <v>841</v>
      </c>
      <c r="C50" s="957" t="s">
        <v>842</v>
      </c>
      <c r="D50" s="963" t="s">
        <v>843</v>
      </c>
      <c r="E50" s="963" t="s">
        <v>844</v>
      </c>
      <c r="F50" s="964" t="str">
        <f>"Annual Debt Service" &amp; "(" &amp; "C" &amp; ")"</f>
        <v>Annual Debt Service(C)</v>
      </c>
      <c r="G50" s="957" t="s">
        <v>845</v>
      </c>
      <c r="H50" s="103"/>
      <c r="I50" s="103"/>
    </row>
    <row r="51" spans="1:9" ht="29.1" customHeight="1">
      <c r="A51" s="958"/>
      <c r="B51" s="958"/>
      <c r="C51" s="1013"/>
      <c r="D51" s="1013"/>
      <c r="E51" s="1015">
        <f>C51-D51</f>
        <v>0</v>
      </c>
      <c r="F51" s="1013"/>
      <c r="G51" s="1015">
        <f>E51-F51</f>
        <v>0</v>
      </c>
      <c r="H51" s="103"/>
      <c r="I51" s="103"/>
    </row>
    <row r="52" spans="1:9" ht="29.1" customHeight="1">
      <c r="A52" s="959"/>
      <c r="B52" s="959"/>
      <c r="C52" s="1013"/>
      <c r="D52" s="1013"/>
      <c r="E52" s="1015">
        <f>C52-D52</f>
        <v>0</v>
      </c>
      <c r="F52" s="1013"/>
      <c r="G52" s="1015">
        <f>E52-F52</f>
        <v>0</v>
      </c>
      <c r="H52" s="103"/>
      <c r="I52" s="103"/>
    </row>
    <row r="53" spans="1:9" ht="29.1" customHeight="1">
      <c r="A53" s="959"/>
      <c r="B53" s="959"/>
      <c r="C53" s="1013"/>
      <c r="D53" s="1013"/>
      <c r="E53" s="1015">
        <f>C53-D53</f>
        <v>0</v>
      </c>
      <c r="F53" s="1013"/>
      <c r="G53" s="1015">
        <f>E53-F53</f>
        <v>0</v>
      </c>
      <c r="H53" s="103"/>
      <c r="I53" s="103"/>
    </row>
    <row r="54" spans="1:9" ht="29.1" customHeight="1">
      <c r="A54" s="959"/>
      <c r="B54" s="959"/>
      <c r="C54" s="1013"/>
      <c r="D54" s="1013"/>
      <c r="E54" s="1015">
        <f>C54-D54</f>
        <v>0</v>
      </c>
      <c r="F54" s="1013"/>
      <c r="G54" s="1015">
        <f>E54-F54</f>
        <v>0</v>
      </c>
      <c r="H54" s="103"/>
      <c r="I54" s="103"/>
    </row>
    <row r="55" spans="1:9" ht="23.1" customHeight="1">
      <c r="A55" s="961" t="s">
        <v>1260</v>
      </c>
      <c r="B55" s="962"/>
      <c r="C55" s="1015">
        <f>SUM(C51:C54)</f>
        <v>0</v>
      </c>
      <c r="D55" s="1015">
        <f>SUM(D51:D54)</f>
        <v>0</v>
      </c>
      <c r="E55" s="1015">
        <f>SUM(E51:E54)</f>
        <v>0</v>
      </c>
      <c r="F55" s="1015">
        <f>SUM(F51:F54)</f>
        <v>0</v>
      </c>
      <c r="G55" s="1015">
        <f>SUM(G51:G54)</f>
        <v>0</v>
      </c>
      <c r="H55" s="103"/>
      <c r="I55" s="103"/>
    </row>
    <row r="56" spans="1:9" ht="24.95" customHeight="1">
      <c r="A56" s="955" t="s">
        <v>846</v>
      </c>
      <c r="H56" s="103"/>
      <c r="I56" s="103"/>
    </row>
    <row r="57" spans="1:9" ht="24.95" customHeight="1">
      <c r="A57" s="963" t="s">
        <v>847</v>
      </c>
      <c r="B57" s="957" t="s">
        <v>848</v>
      </c>
      <c r="C57" s="957" t="s">
        <v>849</v>
      </c>
      <c r="D57" s="963" t="s">
        <v>850</v>
      </c>
      <c r="E57" s="1370" t="s">
        <v>851</v>
      </c>
      <c r="F57" s="1370"/>
      <c r="G57" s="1370"/>
      <c r="H57" s="103"/>
      <c r="I57" s="103"/>
    </row>
    <row r="58" spans="1:9" ht="30" customHeight="1">
      <c r="A58" s="968"/>
      <c r="B58" s="959"/>
      <c r="C58" s="1013"/>
      <c r="D58" s="1013"/>
      <c r="E58" s="1382"/>
      <c r="F58" s="1386"/>
      <c r="G58" s="1383"/>
      <c r="H58" s="103"/>
      <c r="I58" s="103"/>
    </row>
    <row r="59" spans="1:9" ht="30" customHeight="1">
      <c r="A59" s="968"/>
      <c r="B59" s="959"/>
      <c r="C59" s="1013"/>
      <c r="D59" s="1013"/>
      <c r="E59" s="1368"/>
      <c r="F59" s="1368"/>
      <c r="G59" s="1368"/>
      <c r="H59" s="103"/>
      <c r="I59" s="103"/>
    </row>
    <row r="60" spans="1:9" ht="30" customHeight="1">
      <c r="A60" s="968"/>
      <c r="B60" s="959"/>
      <c r="C60" s="1013"/>
      <c r="D60" s="1013"/>
      <c r="E60" s="1368"/>
      <c r="F60" s="1368"/>
      <c r="G60" s="1368"/>
      <c r="H60" s="103"/>
      <c r="I60" s="103"/>
    </row>
    <row r="61" spans="1:9" ht="23.1" customHeight="1">
      <c r="A61" s="961" t="s">
        <v>1260</v>
      </c>
      <c r="B61" s="961"/>
      <c r="C61" s="1015">
        <f>SUM(C58:C60)</f>
        <v>0</v>
      </c>
      <c r="D61" s="1015">
        <f>SUM(D58:D60)</f>
        <v>0</v>
      </c>
      <c r="E61" s="1369"/>
      <c r="F61" s="1369"/>
      <c r="G61" s="1369"/>
      <c r="H61" s="103"/>
      <c r="I61" s="103"/>
    </row>
    <row r="62" spans="1:9" ht="24.95" customHeight="1">
      <c r="A62" s="955" t="s">
        <v>852</v>
      </c>
      <c r="H62" s="103"/>
      <c r="I62" s="103"/>
    </row>
    <row r="63" spans="1:9" ht="24.95" customHeight="1">
      <c r="A63" s="963" t="s">
        <v>847</v>
      </c>
      <c r="B63" s="957" t="s">
        <v>848</v>
      </c>
      <c r="C63" s="957" t="s">
        <v>849</v>
      </c>
      <c r="D63" s="963" t="s">
        <v>850</v>
      </c>
      <c r="E63" s="1370" t="s">
        <v>851</v>
      </c>
      <c r="F63" s="1370"/>
      <c r="G63" s="1370"/>
      <c r="H63" s="103"/>
      <c r="I63" s="103"/>
    </row>
    <row r="64" spans="1:9" ht="30" customHeight="1">
      <c r="A64" s="959"/>
      <c r="B64" s="959"/>
      <c r="C64" s="1013"/>
      <c r="D64" s="1013"/>
      <c r="E64" s="1382"/>
      <c r="F64" s="1386"/>
      <c r="G64" s="1383"/>
      <c r="H64" s="103"/>
      <c r="I64" s="103"/>
    </row>
    <row r="65" spans="1:9" ht="30" customHeight="1">
      <c r="A65" s="959"/>
      <c r="B65" s="959"/>
      <c r="C65" s="1013"/>
      <c r="D65" s="1013"/>
      <c r="E65" s="1368"/>
      <c r="F65" s="1368"/>
      <c r="G65" s="1368"/>
      <c r="H65" s="103"/>
      <c r="I65" s="103"/>
    </row>
    <row r="66" spans="1:9" ht="30" customHeight="1">
      <c r="A66" s="959"/>
      <c r="B66" s="959"/>
      <c r="C66" s="1013"/>
      <c r="D66" s="1013"/>
      <c r="E66" s="1368"/>
      <c r="F66" s="1368"/>
      <c r="G66" s="1368"/>
      <c r="H66" s="103"/>
      <c r="I66" s="103"/>
    </row>
    <row r="67" spans="1:9" ht="23.1" customHeight="1">
      <c r="A67" s="961" t="s">
        <v>1260</v>
      </c>
      <c r="B67" s="961"/>
      <c r="C67" s="1015">
        <f>SUM(C64:C66)</f>
        <v>0</v>
      </c>
      <c r="D67" s="1015">
        <f>SUM(D64:D66)</f>
        <v>0</v>
      </c>
      <c r="E67" s="1369"/>
      <c r="F67" s="1369"/>
      <c r="G67" s="1369"/>
      <c r="H67" s="103"/>
      <c r="I67" s="103"/>
    </row>
    <row r="68" spans="1:9" ht="24.95" customHeight="1">
      <c r="A68" s="955" t="s">
        <v>853</v>
      </c>
    </row>
    <row r="69" spans="1:9" ht="21" customHeight="1">
      <c r="A69" s="963" t="s">
        <v>854</v>
      </c>
      <c r="B69" s="957" t="s">
        <v>855</v>
      </c>
      <c r="C69" s="1370" t="s">
        <v>856</v>
      </c>
      <c r="D69" s="1370"/>
      <c r="E69" s="963" t="s">
        <v>857</v>
      </c>
      <c r="F69" s="957" t="s">
        <v>858</v>
      </c>
      <c r="G69" s="957" t="s">
        <v>859</v>
      </c>
      <c r="H69" s="1380" t="s">
        <v>786</v>
      </c>
      <c r="I69" s="1381"/>
    </row>
    <row r="70" spans="1:9" ht="30" customHeight="1">
      <c r="A70" s="959"/>
      <c r="B70" s="1013"/>
      <c r="C70" s="1368"/>
      <c r="D70" s="1368"/>
      <c r="E70" s="959"/>
      <c r="F70" s="1013"/>
      <c r="G70" s="1013"/>
      <c r="H70" s="1382"/>
      <c r="I70" s="1383"/>
    </row>
    <row r="71" spans="1:9" ht="30" customHeight="1">
      <c r="A71" s="959"/>
      <c r="B71" s="1013"/>
      <c r="C71" s="1368"/>
      <c r="D71" s="1368"/>
      <c r="E71" s="959"/>
      <c r="F71" s="1013"/>
      <c r="G71" s="1013"/>
      <c r="H71" s="1382"/>
      <c r="I71" s="1383"/>
    </row>
    <row r="72" spans="1:9" ht="30" customHeight="1">
      <c r="A72" s="959"/>
      <c r="B72" s="1013"/>
      <c r="C72" s="1368"/>
      <c r="D72" s="1368"/>
      <c r="E72" s="959"/>
      <c r="F72" s="1013"/>
      <c r="G72" s="1013"/>
      <c r="H72" s="1382"/>
      <c r="I72" s="1383"/>
    </row>
    <row r="73" spans="1:9" ht="23.1" customHeight="1">
      <c r="A73" s="961" t="s">
        <v>1260</v>
      </c>
      <c r="B73" s="1015">
        <f>SUM(B70:B72)</f>
        <v>0</v>
      </c>
      <c r="C73" s="1369"/>
      <c r="D73" s="1369"/>
      <c r="E73" s="961"/>
      <c r="F73" s="1015">
        <f>SUM(F70:F72)</f>
        <v>0</v>
      </c>
      <c r="G73" s="1015">
        <f>SUM(G70:G72)</f>
        <v>0</v>
      </c>
      <c r="H73" s="1384"/>
      <c r="I73" s="1385"/>
    </row>
    <row r="74" spans="1:9" ht="24.95" customHeight="1">
      <c r="A74" s="955" t="s">
        <v>860</v>
      </c>
    </row>
    <row r="75" spans="1:9" ht="25.5" customHeight="1">
      <c r="A75" s="1370" t="s">
        <v>861</v>
      </c>
      <c r="B75" s="1370"/>
      <c r="C75" s="957" t="s">
        <v>823</v>
      </c>
      <c r="D75" s="957" t="s">
        <v>862</v>
      </c>
      <c r="E75" s="963" t="s">
        <v>863</v>
      </c>
      <c r="F75" s="1370" t="s">
        <v>864</v>
      </c>
      <c r="G75" s="1370"/>
      <c r="H75" s="1380" t="s">
        <v>865</v>
      </c>
      <c r="I75" s="1381"/>
    </row>
    <row r="76" spans="1:9" ht="30" customHeight="1">
      <c r="A76" s="1368"/>
      <c r="B76" s="1368"/>
      <c r="C76" s="968"/>
      <c r="D76" s="1013"/>
      <c r="E76" s="1013"/>
      <c r="F76" s="1387"/>
      <c r="G76" s="1388"/>
      <c r="H76" s="1389"/>
      <c r="I76" s="1390"/>
    </row>
    <row r="77" spans="1:9" ht="30" customHeight="1">
      <c r="A77" s="1368"/>
      <c r="B77" s="1368"/>
      <c r="C77" s="968"/>
      <c r="D77" s="1013"/>
      <c r="E77" s="1013"/>
      <c r="F77" s="1387"/>
      <c r="G77" s="1388"/>
      <c r="H77" s="1389"/>
      <c r="I77" s="1390"/>
    </row>
    <row r="78" spans="1:9" ht="30" customHeight="1">
      <c r="A78" s="1368"/>
      <c r="B78" s="1368"/>
      <c r="C78" s="968"/>
      <c r="D78" s="1013"/>
      <c r="E78" s="1013"/>
      <c r="F78" s="1387"/>
      <c r="G78" s="1388"/>
      <c r="H78" s="1389"/>
      <c r="I78" s="1390"/>
    </row>
    <row r="79" spans="1:9" ht="30" customHeight="1">
      <c r="A79" s="1368"/>
      <c r="B79" s="1368"/>
      <c r="C79" s="968"/>
      <c r="D79" s="1013"/>
      <c r="E79" s="1013"/>
      <c r="F79" s="1387"/>
      <c r="G79" s="1388"/>
      <c r="H79" s="1389"/>
      <c r="I79" s="1390"/>
    </row>
    <row r="80" spans="1:9" ht="30" customHeight="1">
      <c r="A80" s="1368"/>
      <c r="B80" s="1368"/>
      <c r="C80" s="968"/>
      <c r="D80" s="1013"/>
      <c r="E80" s="1013"/>
      <c r="F80" s="1387"/>
      <c r="G80" s="1388"/>
      <c r="H80" s="1389"/>
      <c r="I80" s="1390"/>
    </row>
    <row r="81" spans="1:9" ht="30" customHeight="1">
      <c r="A81" s="1368"/>
      <c r="B81" s="1368"/>
      <c r="C81" s="968"/>
      <c r="D81" s="1013"/>
      <c r="E81" s="1013"/>
      <c r="F81" s="1387"/>
      <c r="G81" s="1388"/>
      <c r="H81" s="1389"/>
      <c r="I81" s="1390"/>
    </row>
    <row r="82" spans="1:9" ht="23.1" customHeight="1">
      <c r="A82" s="1369" t="s">
        <v>1260</v>
      </c>
      <c r="B82" s="1369"/>
      <c r="C82" s="961"/>
      <c r="D82" s="1015">
        <f>SUM(D76:D81)</f>
        <v>0</v>
      </c>
      <c r="E82" s="1015">
        <f>SUM(E76:E81)</f>
        <v>0</v>
      </c>
      <c r="F82" s="1391">
        <v>0</v>
      </c>
      <c r="G82" s="1392"/>
      <c r="H82" s="1393"/>
      <c r="I82" s="1394"/>
    </row>
    <row r="83" spans="1:9" ht="24.95" customHeight="1">
      <c r="A83" s="955" t="s">
        <v>866</v>
      </c>
    </row>
    <row r="84" spans="1:9" ht="36.75" customHeight="1">
      <c r="A84" s="1370" t="s">
        <v>867</v>
      </c>
      <c r="B84" s="1370"/>
      <c r="C84" s="1370" t="s">
        <v>868</v>
      </c>
      <c r="D84" s="1370"/>
      <c r="E84" s="963" t="s">
        <v>869</v>
      </c>
      <c r="F84" s="963" t="s">
        <v>870</v>
      </c>
      <c r="G84" s="963" t="s">
        <v>871</v>
      </c>
      <c r="H84" s="957" t="s">
        <v>872</v>
      </c>
      <c r="I84" s="963" t="s">
        <v>786</v>
      </c>
    </row>
    <row r="85" spans="1:9" ht="33" customHeight="1">
      <c r="A85" s="1368"/>
      <c r="B85" s="1368"/>
      <c r="C85" s="1368"/>
      <c r="D85" s="1368"/>
      <c r="E85" s="969"/>
      <c r="F85" s="1013"/>
      <c r="G85" s="970"/>
      <c r="H85" s="1013"/>
      <c r="I85" s="959"/>
    </row>
    <row r="86" spans="1:9" ht="33" customHeight="1">
      <c r="A86" s="1368"/>
      <c r="B86" s="1368"/>
      <c r="C86" s="1368"/>
      <c r="D86" s="1368"/>
      <c r="E86" s="969"/>
      <c r="F86" s="1013"/>
      <c r="G86" s="970"/>
      <c r="H86" s="1013"/>
      <c r="I86" s="959"/>
    </row>
    <row r="87" spans="1:9" ht="33" customHeight="1">
      <c r="A87" s="1368"/>
      <c r="B87" s="1368"/>
      <c r="C87" s="1368"/>
      <c r="D87" s="1368"/>
      <c r="E87" s="969"/>
      <c r="F87" s="1013"/>
      <c r="G87" s="970"/>
      <c r="H87" s="1013"/>
      <c r="I87" s="959"/>
    </row>
    <row r="88" spans="1:9" ht="33" customHeight="1">
      <c r="A88" s="1368"/>
      <c r="B88" s="1368"/>
      <c r="C88" s="1368"/>
      <c r="D88" s="1368"/>
      <c r="E88" s="969"/>
      <c r="F88" s="1013"/>
      <c r="G88" s="970"/>
      <c r="H88" s="1013"/>
      <c r="I88" s="959"/>
    </row>
    <row r="89" spans="1:9" ht="21" customHeight="1">
      <c r="A89" s="1369" t="s">
        <v>1260</v>
      </c>
      <c r="B89" s="1369"/>
      <c r="C89" s="1369"/>
      <c r="D89" s="1369"/>
      <c r="E89" s="966"/>
      <c r="F89" s="1015">
        <f>SUM(F85:F88)</f>
        <v>0</v>
      </c>
      <c r="G89" s="966"/>
      <c r="H89" s="1015">
        <f>SUM(H85:H88)</f>
        <v>0</v>
      </c>
      <c r="I89" s="966"/>
    </row>
    <row r="90" spans="1:9" ht="17.25" customHeight="1">
      <c r="A90" s="955" t="s">
        <v>873</v>
      </c>
    </row>
    <row r="91" spans="1:9" ht="17.25" customHeight="1">
      <c r="A91" s="1375" t="s">
        <v>874</v>
      </c>
      <c r="B91" s="1375"/>
      <c r="C91" s="1375"/>
      <c r="D91" s="963" t="s">
        <v>875</v>
      </c>
      <c r="E91" s="963" t="s">
        <v>876</v>
      </c>
      <c r="F91" s="1370" t="s">
        <v>877</v>
      </c>
      <c r="G91" s="1370"/>
      <c r="H91" s="1380" t="s">
        <v>786</v>
      </c>
      <c r="I91" s="1381"/>
    </row>
    <row r="92" spans="1:9" ht="33" customHeight="1">
      <c r="A92" s="1372"/>
      <c r="B92" s="1372"/>
      <c r="C92" s="1372"/>
      <c r="D92" s="1013"/>
      <c r="E92" s="969"/>
      <c r="F92" s="1368"/>
      <c r="G92" s="1368"/>
      <c r="H92" s="1382"/>
      <c r="I92" s="1383"/>
    </row>
    <row r="93" spans="1:9" ht="33" customHeight="1">
      <c r="A93" s="1372"/>
      <c r="B93" s="1372"/>
      <c r="C93" s="1372"/>
      <c r="D93" s="1013"/>
      <c r="E93" s="969"/>
      <c r="F93" s="1368"/>
      <c r="G93" s="1368"/>
      <c r="H93" s="1382"/>
      <c r="I93" s="1383"/>
    </row>
    <row r="94" spans="1:9" ht="33" customHeight="1">
      <c r="A94" s="1372"/>
      <c r="B94" s="1372"/>
      <c r="C94" s="1372"/>
      <c r="D94" s="1013"/>
      <c r="E94" s="969"/>
      <c r="F94" s="1368"/>
      <c r="G94" s="1368"/>
      <c r="H94" s="1382"/>
      <c r="I94" s="1383"/>
    </row>
    <row r="95" spans="1:9" ht="33" customHeight="1">
      <c r="A95" s="1372"/>
      <c r="B95" s="1372"/>
      <c r="C95" s="1372"/>
      <c r="D95" s="1013"/>
      <c r="E95" s="969"/>
      <c r="F95" s="1368"/>
      <c r="G95" s="1368"/>
      <c r="H95" s="1382"/>
      <c r="I95" s="1383"/>
    </row>
    <row r="96" spans="1:9" ht="33" customHeight="1">
      <c r="A96" s="1372"/>
      <c r="B96" s="1372"/>
      <c r="C96" s="1372"/>
      <c r="D96" s="1013"/>
      <c r="E96" s="969"/>
      <c r="F96" s="1368"/>
      <c r="G96" s="1368"/>
      <c r="H96" s="1382"/>
      <c r="I96" s="1383"/>
    </row>
    <row r="97" spans="1:9" ht="21" customHeight="1">
      <c r="A97" s="1377" t="s">
        <v>1260</v>
      </c>
      <c r="B97" s="1377"/>
      <c r="C97" s="1377"/>
      <c r="D97" s="1015">
        <f>SUM(D92:D96)</f>
        <v>0</v>
      </c>
      <c r="E97" s="966"/>
      <c r="F97" s="1369"/>
      <c r="G97" s="1369"/>
      <c r="H97" s="1384"/>
      <c r="I97" s="1385"/>
    </row>
    <row r="98" spans="1:9" ht="15.75" customHeight="1">
      <c r="A98" s="955" t="s">
        <v>878</v>
      </c>
    </row>
    <row r="99" spans="1:9" ht="16.5" customHeight="1">
      <c r="A99" s="1375" t="s">
        <v>874</v>
      </c>
      <c r="B99" s="1375"/>
      <c r="C99" s="1375"/>
      <c r="D99" s="963" t="s">
        <v>818</v>
      </c>
      <c r="E99" s="963" t="s">
        <v>879</v>
      </c>
      <c r="F99" s="1380" t="s">
        <v>786</v>
      </c>
      <c r="G99" s="1381"/>
    </row>
    <row r="100" spans="1:9" ht="33" customHeight="1">
      <c r="A100" s="1372"/>
      <c r="B100" s="1372"/>
      <c r="C100" s="1372"/>
      <c r="D100" s="1013"/>
      <c r="E100" s="1013"/>
      <c r="F100" s="1382"/>
      <c r="G100" s="1383"/>
    </row>
    <row r="101" spans="1:9" ht="33" customHeight="1">
      <c r="A101" s="1372"/>
      <c r="B101" s="1372"/>
      <c r="C101" s="1372"/>
      <c r="D101" s="1013"/>
      <c r="E101" s="1013"/>
      <c r="F101" s="1382"/>
      <c r="G101" s="1383"/>
    </row>
    <row r="102" spans="1:9" ht="33" customHeight="1">
      <c r="A102" s="1372"/>
      <c r="B102" s="1372"/>
      <c r="C102" s="1372"/>
      <c r="D102" s="1013"/>
      <c r="E102" s="1013"/>
      <c r="F102" s="1382"/>
      <c r="G102" s="1383"/>
    </row>
    <row r="103" spans="1:9" ht="21" customHeight="1">
      <c r="A103" s="1377" t="s">
        <v>1260</v>
      </c>
      <c r="B103" s="1377"/>
      <c r="C103" s="1377"/>
      <c r="D103" s="1015">
        <f>SUM(D100:D102)</f>
        <v>0</v>
      </c>
      <c r="E103" s="1015">
        <f>SUM(E100:E102)</f>
        <v>0</v>
      </c>
      <c r="F103" s="1384"/>
      <c r="G103" s="1385"/>
    </row>
    <row r="104" spans="1:9" ht="15" customHeight="1">
      <c r="A104" s="955" t="s">
        <v>880</v>
      </c>
    </row>
    <row r="105" spans="1:9" ht="13.5" customHeight="1">
      <c r="A105" s="1375" t="s">
        <v>874</v>
      </c>
      <c r="B105" s="1375"/>
      <c r="C105" s="1375"/>
      <c r="D105" s="963" t="s">
        <v>818</v>
      </c>
      <c r="E105" s="963" t="s">
        <v>879</v>
      </c>
      <c r="F105" s="1380" t="s">
        <v>786</v>
      </c>
      <c r="G105" s="1381"/>
    </row>
    <row r="106" spans="1:9" ht="33" customHeight="1">
      <c r="A106" s="1372"/>
      <c r="B106" s="1372"/>
      <c r="C106" s="1372"/>
      <c r="D106" s="1013"/>
      <c r="E106" s="1013"/>
      <c r="F106" s="1382"/>
      <c r="G106" s="1383"/>
    </row>
    <row r="107" spans="1:9" ht="33" customHeight="1">
      <c r="A107" s="1372"/>
      <c r="B107" s="1372"/>
      <c r="C107" s="1372"/>
      <c r="D107" s="1013"/>
      <c r="E107" s="1013"/>
      <c r="F107" s="1382"/>
      <c r="G107" s="1383"/>
    </row>
    <row r="108" spans="1:9" ht="33" customHeight="1">
      <c r="A108" s="1372"/>
      <c r="B108" s="1372"/>
      <c r="C108" s="1372"/>
      <c r="D108" s="1013"/>
      <c r="E108" s="1013"/>
      <c r="F108" s="1382"/>
      <c r="G108" s="1383"/>
    </row>
    <row r="109" spans="1:9" ht="21" customHeight="1">
      <c r="A109" s="1377" t="s">
        <v>1260</v>
      </c>
      <c r="B109" s="1377"/>
      <c r="C109" s="1377"/>
      <c r="D109" s="1015">
        <f>SUM(D106:D108)</f>
        <v>0</v>
      </c>
      <c r="E109" s="1015">
        <f>SUM(E106:E108)</f>
        <v>0</v>
      </c>
      <c r="F109" s="1384"/>
      <c r="G109" s="1385"/>
    </row>
    <row r="110" spans="1:9" ht="24.95" customHeight="1">
      <c r="A110" s="955" t="s">
        <v>881</v>
      </c>
    </row>
    <row r="111" spans="1:9" ht="24.95" customHeight="1">
      <c r="A111" s="1370" t="s">
        <v>1214</v>
      </c>
      <c r="B111" s="1370"/>
      <c r="C111" s="1370"/>
      <c r="D111" s="1370"/>
      <c r="E111" s="1370" t="s">
        <v>1154</v>
      </c>
      <c r="F111" s="1370"/>
      <c r="G111" s="1375" t="s">
        <v>786</v>
      </c>
      <c r="H111" s="1375"/>
    </row>
    <row r="112" spans="1:9" ht="38.1" customHeight="1">
      <c r="A112" s="1368"/>
      <c r="B112" s="1368"/>
      <c r="C112" s="1368"/>
      <c r="D112" s="1368"/>
      <c r="E112" s="1378"/>
      <c r="F112" s="1378"/>
      <c r="G112" s="1372"/>
      <c r="H112" s="1372"/>
    </row>
    <row r="113" spans="1:8" ht="38.1" customHeight="1">
      <c r="A113" s="1368"/>
      <c r="B113" s="1368"/>
      <c r="C113" s="1368"/>
      <c r="D113" s="1368"/>
      <c r="E113" s="1378"/>
      <c r="F113" s="1378"/>
      <c r="G113" s="1372"/>
      <c r="H113" s="1372"/>
    </row>
    <row r="114" spans="1:8" ht="38.1" customHeight="1">
      <c r="A114" s="1368"/>
      <c r="B114" s="1368"/>
      <c r="C114" s="1368"/>
      <c r="D114" s="1368"/>
      <c r="E114" s="1378"/>
      <c r="F114" s="1378"/>
      <c r="G114" s="1372"/>
      <c r="H114" s="1372"/>
    </row>
    <row r="115" spans="1:8" ht="38.1" customHeight="1">
      <c r="A115" s="1368"/>
      <c r="B115" s="1368"/>
      <c r="C115" s="1368"/>
      <c r="D115" s="1368"/>
      <c r="E115" s="1378"/>
      <c r="F115" s="1378"/>
      <c r="G115" s="1372"/>
      <c r="H115" s="1372"/>
    </row>
    <row r="116" spans="1:8" ht="38.1" customHeight="1">
      <c r="A116" s="1368"/>
      <c r="B116" s="1368"/>
      <c r="C116" s="1368"/>
      <c r="D116" s="1368"/>
      <c r="E116" s="1378"/>
      <c r="F116" s="1378"/>
      <c r="G116" s="1372"/>
      <c r="H116" s="1372"/>
    </row>
    <row r="117" spans="1:8" ht="38.1" customHeight="1">
      <c r="A117" s="1369" t="s">
        <v>1260</v>
      </c>
      <c r="B117" s="1369"/>
      <c r="C117" s="1369"/>
      <c r="D117" s="1369"/>
      <c r="E117" s="1379">
        <f>SUM(E112:F116)</f>
        <v>0</v>
      </c>
      <c r="F117" s="1379"/>
      <c r="G117" s="1377"/>
      <c r="H117" s="1377"/>
    </row>
    <row r="118" spans="1:8" ht="24.95" customHeight="1">
      <c r="A118" s="955" t="s">
        <v>882</v>
      </c>
    </row>
    <row r="119" spans="1:8" ht="24.95" customHeight="1">
      <c r="A119" s="1370" t="s">
        <v>1214</v>
      </c>
      <c r="B119" s="1370"/>
      <c r="C119" s="1370"/>
      <c r="D119" s="1370"/>
      <c r="E119" s="1395" t="s">
        <v>1154</v>
      </c>
      <c r="F119" s="1395"/>
      <c r="G119" s="1375" t="s">
        <v>786</v>
      </c>
      <c r="H119" s="1375"/>
    </row>
    <row r="120" spans="1:8" ht="38.1" customHeight="1">
      <c r="A120" s="1368"/>
      <c r="B120" s="1368"/>
      <c r="C120" s="1368"/>
      <c r="D120" s="1368"/>
      <c r="E120" s="1378"/>
      <c r="F120" s="1378"/>
      <c r="G120" s="1372"/>
      <c r="H120" s="1372"/>
    </row>
    <row r="121" spans="1:8" ht="38.1" customHeight="1">
      <c r="A121" s="1368"/>
      <c r="B121" s="1368"/>
      <c r="C121" s="1368"/>
      <c r="D121" s="1368"/>
      <c r="E121" s="1378"/>
      <c r="F121" s="1378"/>
      <c r="G121" s="1372"/>
      <c r="H121" s="1372"/>
    </row>
    <row r="122" spans="1:8" ht="38.1" customHeight="1">
      <c r="A122" s="1368"/>
      <c r="B122" s="1368"/>
      <c r="C122" s="1368"/>
      <c r="D122" s="1368"/>
      <c r="E122" s="1378"/>
      <c r="F122" s="1378"/>
      <c r="G122" s="1372"/>
      <c r="H122" s="1372"/>
    </row>
    <row r="123" spans="1:8" ht="38.1" customHeight="1">
      <c r="A123" s="1368"/>
      <c r="B123" s="1368"/>
      <c r="C123" s="1368"/>
      <c r="D123" s="1368"/>
      <c r="E123" s="1378"/>
      <c r="F123" s="1378"/>
      <c r="G123" s="1372"/>
      <c r="H123" s="1372"/>
    </row>
    <row r="124" spans="1:8" ht="38.1" customHeight="1">
      <c r="A124" s="1368"/>
      <c r="B124" s="1368"/>
      <c r="C124" s="1368"/>
      <c r="D124" s="1368"/>
      <c r="E124" s="1378"/>
      <c r="F124" s="1378"/>
      <c r="G124" s="1372"/>
      <c r="H124" s="1372"/>
    </row>
    <row r="125" spans="1:8" ht="38.1" customHeight="1">
      <c r="A125" s="1369" t="s">
        <v>1260</v>
      </c>
      <c r="B125" s="1369"/>
      <c r="C125" s="1369"/>
      <c r="D125" s="1369"/>
      <c r="E125" s="1379">
        <f>SUM(E120:F124)</f>
        <v>0</v>
      </c>
      <c r="F125" s="1379"/>
      <c r="G125" s="1377"/>
      <c r="H125" s="1377"/>
    </row>
    <row r="126" spans="1:8" ht="24.95" customHeight="1">
      <c r="A126" s="955" t="s">
        <v>883</v>
      </c>
    </row>
    <row r="127" spans="1:8" ht="39.950000000000003" customHeight="1">
      <c r="A127" s="1396" t="s">
        <v>884</v>
      </c>
      <c r="B127" s="1396"/>
      <c r="C127" s="1370" t="s">
        <v>885</v>
      </c>
      <c r="D127" s="1370"/>
      <c r="E127" s="1370" t="s">
        <v>886</v>
      </c>
      <c r="F127" s="1370"/>
      <c r="G127" s="1370" t="s">
        <v>887</v>
      </c>
      <c r="H127" s="1370"/>
    </row>
    <row r="128" spans="1:8" ht="39.950000000000003" customHeight="1">
      <c r="A128" s="1370" t="s">
        <v>888</v>
      </c>
      <c r="B128" s="1370"/>
      <c r="C128" s="1378"/>
      <c r="D128" s="1378"/>
      <c r="E128" s="1378"/>
      <c r="F128" s="1378"/>
      <c r="G128" s="1379">
        <f t="shared" ref="G128:G133" si="0">C128+E128</f>
        <v>0</v>
      </c>
      <c r="H128" s="1379"/>
    </row>
    <row r="129" spans="1:8" ht="39.950000000000003" customHeight="1">
      <c r="A129" s="1370" t="s">
        <v>889</v>
      </c>
      <c r="B129" s="1370"/>
      <c r="C129" s="1378"/>
      <c r="D129" s="1378"/>
      <c r="E129" s="1378"/>
      <c r="F129" s="1378"/>
      <c r="G129" s="1379">
        <f t="shared" si="0"/>
        <v>0</v>
      </c>
      <c r="H129" s="1379"/>
    </row>
    <row r="130" spans="1:8" ht="39.950000000000003" customHeight="1">
      <c r="A130" s="1370" t="s">
        <v>890</v>
      </c>
      <c r="B130" s="1370"/>
      <c r="C130" s="1378"/>
      <c r="D130" s="1378"/>
      <c r="E130" s="1378"/>
      <c r="F130" s="1378"/>
      <c r="G130" s="1379">
        <f t="shared" si="0"/>
        <v>0</v>
      </c>
      <c r="H130" s="1379"/>
    </row>
    <row r="131" spans="1:8" ht="39.950000000000003" customHeight="1">
      <c r="A131" s="1370" t="s">
        <v>891</v>
      </c>
      <c r="B131" s="1370"/>
      <c r="C131" s="1378"/>
      <c r="D131" s="1378"/>
      <c r="E131" s="1378"/>
      <c r="F131" s="1378"/>
      <c r="G131" s="1379">
        <f t="shared" si="0"/>
        <v>0</v>
      </c>
      <c r="H131" s="1379"/>
    </row>
    <row r="132" spans="1:8" ht="39.950000000000003" customHeight="1">
      <c r="A132" s="1370" t="s">
        <v>892</v>
      </c>
      <c r="B132" s="1370"/>
      <c r="C132" s="1378"/>
      <c r="D132" s="1378"/>
      <c r="E132" s="1378"/>
      <c r="F132" s="1378"/>
      <c r="G132" s="1379">
        <f t="shared" si="0"/>
        <v>0</v>
      </c>
      <c r="H132" s="1379"/>
    </row>
    <row r="133" spans="1:8" ht="39.950000000000003" customHeight="1">
      <c r="A133" s="1370" t="s">
        <v>893</v>
      </c>
      <c r="B133" s="1370"/>
      <c r="C133" s="1378"/>
      <c r="D133" s="1378"/>
      <c r="E133" s="1378"/>
      <c r="F133" s="1378"/>
      <c r="G133" s="1379">
        <f t="shared" si="0"/>
        <v>0</v>
      </c>
      <c r="H133" s="1379"/>
    </row>
    <row r="134" spans="1:8" ht="39.950000000000003" customHeight="1">
      <c r="A134" s="1369" t="s">
        <v>894</v>
      </c>
      <c r="B134" s="1369"/>
      <c r="C134" s="1397">
        <f>SUM(C128:D133)</f>
        <v>0</v>
      </c>
      <c r="D134" s="1397"/>
      <c r="E134" s="1397">
        <f>SUM(E128:F133)</f>
        <v>0</v>
      </c>
      <c r="F134" s="1397"/>
      <c r="G134" s="1379">
        <f>SUM(G128:H133)</f>
        <v>0</v>
      </c>
      <c r="H134" s="1379"/>
    </row>
    <row r="135" spans="1:8" ht="39.950000000000003" customHeight="1">
      <c r="A135" s="1396" t="s">
        <v>895</v>
      </c>
      <c r="B135" s="1396"/>
      <c r="C135" s="1370" t="s">
        <v>885</v>
      </c>
      <c r="D135" s="1370"/>
      <c r="E135" s="1370" t="s">
        <v>886</v>
      </c>
      <c r="F135" s="1370"/>
      <c r="G135" s="1370" t="s">
        <v>887</v>
      </c>
      <c r="H135" s="1370"/>
    </row>
    <row r="136" spans="1:8" ht="39.950000000000003" customHeight="1">
      <c r="A136" s="1370" t="s">
        <v>888</v>
      </c>
      <c r="B136" s="1370"/>
      <c r="C136" s="1378"/>
      <c r="D136" s="1378"/>
      <c r="E136" s="1378"/>
      <c r="F136" s="1378"/>
      <c r="G136" s="1397">
        <f t="shared" ref="G136:G141" si="1">C136+E136</f>
        <v>0</v>
      </c>
      <c r="H136" s="1397"/>
    </row>
    <row r="137" spans="1:8" ht="39.950000000000003" customHeight="1">
      <c r="A137" s="1370" t="s">
        <v>889</v>
      </c>
      <c r="B137" s="1370"/>
      <c r="C137" s="1378"/>
      <c r="D137" s="1378"/>
      <c r="E137" s="1378"/>
      <c r="F137" s="1378"/>
      <c r="G137" s="1397">
        <f t="shared" si="1"/>
        <v>0</v>
      </c>
      <c r="H137" s="1397"/>
    </row>
    <row r="138" spans="1:8" ht="39.950000000000003" customHeight="1">
      <c r="A138" s="1370" t="s">
        <v>890</v>
      </c>
      <c r="B138" s="1370"/>
      <c r="C138" s="1378"/>
      <c r="D138" s="1378"/>
      <c r="E138" s="1378"/>
      <c r="F138" s="1378"/>
      <c r="G138" s="1397">
        <f t="shared" si="1"/>
        <v>0</v>
      </c>
      <c r="H138" s="1397"/>
    </row>
    <row r="139" spans="1:8" ht="39.950000000000003" customHeight="1">
      <c r="A139" s="1370" t="s">
        <v>891</v>
      </c>
      <c r="B139" s="1370"/>
      <c r="C139" s="1378"/>
      <c r="D139" s="1378"/>
      <c r="E139" s="1378"/>
      <c r="F139" s="1378"/>
      <c r="G139" s="1397">
        <f t="shared" si="1"/>
        <v>0</v>
      </c>
      <c r="H139" s="1397"/>
    </row>
    <row r="140" spans="1:8" ht="39.950000000000003" customHeight="1">
      <c r="A140" s="1370" t="s">
        <v>892</v>
      </c>
      <c r="B140" s="1370"/>
      <c r="C140" s="1378"/>
      <c r="D140" s="1378"/>
      <c r="E140" s="1378"/>
      <c r="F140" s="1378"/>
      <c r="G140" s="1397">
        <f t="shared" si="1"/>
        <v>0</v>
      </c>
      <c r="H140" s="1397"/>
    </row>
    <row r="141" spans="1:8" ht="39.950000000000003" customHeight="1">
      <c r="A141" s="1370" t="s">
        <v>893</v>
      </c>
      <c r="B141" s="1370"/>
      <c r="C141" s="1378"/>
      <c r="D141" s="1378"/>
      <c r="E141" s="1378"/>
      <c r="F141" s="1378"/>
      <c r="G141" s="1397">
        <f t="shared" si="1"/>
        <v>0</v>
      </c>
      <c r="H141" s="1397"/>
    </row>
    <row r="142" spans="1:8" ht="39.950000000000003" customHeight="1">
      <c r="A142" s="1369" t="s">
        <v>894</v>
      </c>
      <c r="B142" s="1369"/>
      <c r="C142" s="1397">
        <f>SUM(C136:D141)</f>
        <v>0</v>
      </c>
      <c r="D142" s="1397"/>
      <c r="E142" s="1397">
        <f>SUM(E136:F141)</f>
        <v>0</v>
      </c>
      <c r="F142" s="1397"/>
      <c r="G142" s="1397">
        <f>SUM(G136:H141)</f>
        <v>0</v>
      </c>
      <c r="H142" s="1397"/>
    </row>
    <row r="143" spans="1:8" ht="24.95" customHeight="1">
      <c r="A143" s="955" t="s">
        <v>896</v>
      </c>
      <c r="G143" s="103"/>
      <c r="H143" s="103"/>
    </row>
    <row r="144" spans="1:8" ht="30" customHeight="1">
      <c r="A144" s="1396"/>
      <c r="B144" s="1396"/>
      <c r="C144" s="1370" t="s">
        <v>897</v>
      </c>
      <c r="D144" s="1370"/>
      <c r="E144" s="1370" t="s">
        <v>898</v>
      </c>
      <c r="F144" s="1370"/>
      <c r="G144" s="103"/>
      <c r="H144" s="103"/>
    </row>
    <row r="145" spans="1:8" ht="30" customHeight="1">
      <c r="A145" s="1370" t="s">
        <v>899</v>
      </c>
      <c r="B145" s="1370"/>
      <c r="C145" s="1378"/>
      <c r="D145" s="1378"/>
      <c r="E145" s="1378"/>
      <c r="F145" s="1378"/>
      <c r="G145" s="103"/>
      <c r="H145" s="103"/>
    </row>
    <row r="146" spans="1:8" ht="30" customHeight="1">
      <c r="A146" s="1370" t="s">
        <v>900</v>
      </c>
      <c r="B146" s="1370"/>
      <c r="C146" s="1378"/>
      <c r="D146" s="1378"/>
      <c r="E146" s="1378"/>
      <c r="F146" s="1378"/>
      <c r="G146" s="103"/>
      <c r="H146" s="103"/>
    </row>
    <row r="147" spans="1:8" ht="30" customHeight="1">
      <c r="A147" s="1370" t="s">
        <v>901</v>
      </c>
      <c r="B147" s="1370"/>
      <c r="C147" s="1378"/>
      <c r="D147" s="1378"/>
      <c r="E147" s="1378"/>
      <c r="F147" s="1378"/>
    </row>
    <row r="148" spans="1:8" ht="30" customHeight="1">
      <c r="A148" s="1370" t="s">
        <v>1290</v>
      </c>
      <c r="B148" s="1370"/>
      <c r="C148" s="1378"/>
      <c r="D148" s="1378"/>
      <c r="E148" s="1378"/>
      <c r="F148" s="1378"/>
    </row>
    <row r="149" spans="1:8" ht="30" customHeight="1">
      <c r="A149" s="1370" t="s">
        <v>902</v>
      </c>
      <c r="B149" s="1370"/>
      <c r="C149" s="1378"/>
      <c r="D149" s="1378"/>
      <c r="E149" s="1378"/>
      <c r="F149" s="1378"/>
    </row>
    <row r="150" spans="1:8" ht="30" customHeight="1">
      <c r="A150" s="1370" t="s">
        <v>1291</v>
      </c>
      <c r="B150" s="1370"/>
      <c r="C150" s="1378"/>
      <c r="D150" s="1378"/>
      <c r="E150" s="1378"/>
      <c r="F150" s="1378"/>
    </row>
    <row r="151" spans="1:8" ht="30" customHeight="1">
      <c r="A151" s="1370" t="s">
        <v>903</v>
      </c>
      <c r="B151" s="1370"/>
      <c r="C151" s="1378"/>
      <c r="D151" s="1378"/>
      <c r="E151" s="1378"/>
      <c r="F151" s="1378"/>
    </row>
    <row r="152" spans="1:8" ht="30" customHeight="1">
      <c r="A152" s="1370" t="s">
        <v>904</v>
      </c>
      <c r="B152" s="1370"/>
      <c r="C152" s="1378"/>
      <c r="D152" s="1378"/>
      <c r="E152" s="1378"/>
      <c r="F152" s="1378"/>
    </row>
    <row r="153" spans="1:8" ht="30" customHeight="1">
      <c r="A153" s="1370" t="s">
        <v>905</v>
      </c>
      <c r="B153" s="1370"/>
      <c r="C153" s="1378"/>
      <c r="D153" s="1378"/>
      <c r="E153" s="1378"/>
      <c r="F153" s="1378"/>
    </row>
    <row r="154" spans="1:8" ht="30" customHeight="1">
      <c r="A154" s="1370" t="s">
        <v>906</v>
      </c>
      <c r="B154" s="1370"/>
      <c r="C154" s="1378"/>
      <c r="D154" s="1378"/>
      <c r="E154" s="1378"/>
      <c r="F154" s="1378"/>
    </row>
    <row r="155" spans="1:8" ht="30" customHeight="1">
      <c r="A155" s="1370" t="s">
        <v>907</v>
      </c>
      <c r="B155" s="1370"/>
      <c r="C155" s="1378"/>
      <c r="D155" s="1378"/>
      <c r="E155" s="1378"/>
      <c r="F155" s="1378"/>
    </row>
    <row r="156" spans="1:8" ht="30" customHeight="1">
      <c r="A156" s="1370" t="s">
        <v>908</v>
      </c>
      <c r="B156" s="1370"/>
      <c r="C156" s="1378"/>
      <c r="D156" s="1378"/>
      <c r="E156" s="1378"/>
      <c r="F156" s="1378"/>
    </row>
    <row r="157" spans="1:8" ht="30" customHeight="1">
      <c r="A157" s="1370" t="s">
        <v>909</v>
      </c>
      <c r="B157" s="1370"/>
      <c r="C157" s="1378"/>
      <c r="D157" s="1378"/>
      <c r="E157" s="1378"/>
      <c r="F157" s="1378"/>
    </row>
    <row r="158" spans="1:8" ht="30" customHeight="1">
      <c r="A158" s="1370" t="s">
        <v>86</v>
      </c>
      <c r="B158" s="1370"/>
      <c r="C158" s="1379">
        <f>SUM(C145:D157)</f>
        <v>0</v>
      </c>
      <c r="D158" s="1379"/>
      <c r="E158" s="1379">
        <f>SUM(E145:F157)</f>
        <v>0</v>
      </c>
      <c r="F158" s="1379"/>
    </row>
    <row r="159" spans="1:8" ht="30" customHeight="1">
      <c r="A159" s="956" t="s">
        <v>910</v>
      </c>
    </row>
    <row r="160" spans="1:8" ht="15" customHeight="1">
      <c r="A160" s="1398"/>
      <c r="B160" s="1399"/>
      <c r="C160" s="1399"/>
      <c r="D160" s="1399"/>
      <c r="E160" s="1399"/>
      <c r="F160" s="1399"/>
      <c r="G160" s="1400"/>
    </row>
    <row r="161" spans="1:8" ht="15" customHeight="1">
      <c r="A161" s="1401"/>
      <c r="B161" s="1402"/>
      <c r="C161" s="1402"/>
      <c r="D161" s="1402"/>
      <c r="E161" s="1402"/>
      <c r="F161" s="1402"/>
      <c r="G161" s="1403"/>
    </row>
    <row r="162" spans="1:8" ht="15" customHeight="1">
      <c r="A162" s="1401"/>
      <c r="B162" s="1402"/>
      <c r="C162" s="1402"/>
      <c r="D162" s="1402"/>
      <c r="E162" s="1402"/>
      <c r="F162" s="1402"/>
      <c r="G162" s="1403"/>
    </row>
    <row r="163" spans="1:8" ht="15" customHeight="1">
      <c r="A163" s="1401"/>
      <c r="B163" s="1402"/>
      <c r="C163" s="1402"/>
      <c r="D163" s="1402"/>
      <c r="E163" s="1402"/>
      <c r="F163" s="1402"/>
      <c r="G163" s="1403"/>
    </row>
    <row r="164" spans="1:8" ht="15" customHeight="1">
      <c r="A164" s="1401"/>
      <c r="B164" s="1402"/>
      <c r="C164" s="1402"/>
      <c r="D164" s="1402"/>
      <c r="E164" s="1402"/>
      <c r="F164" s="1402"/>
      <c r="G164" s="1403"/>
    </row>
    <row r="165" spans="1:8" ht="15" customHeight="1">
      <c r="A165" s="1404"/>
      <c r="B165" s="1405"/>
      <c r="C165" s="1405"/>
      <c r="D165" s="1405"/>
      <c r="E165" s="1405"/>
      <c r="F165" s="1405"/>
      <c r="G165" s="1406"/>
    </row>
    <row r="166" spans="1:8" ht="15" customHeight="1">
      <c r="A166" s="1408" t="s">
        <v>911</v>
      </c>
      <c r="B166" s="1408"/>
      <c r="C166" s="103"/>
      <c r="D166" s="103"/>
      <c r="E166" s="103"/>
      <c r="F166" s="103"/>
      <c r="G166" s="103"/>
    </row>
    <row r="167" spans="1:8" ht="24.75" customHeight="1">
      <c r="A167" s="1370" t="s">
        <v>1112</v>
      </c>
      <c r="B167" s="1370"/>
      <c r="C167" s="1370" t="s">
        <v>912</v>
      </c>
      <c r="D167" s="1370"/>
      <c r="E167" s="957" t="s">
        <v>913</v>
      </c>
      <c r="F167" s="957" t="s">
        <v>914</v>
      </c>
      <c r="G167" s="957" t="s">
        <v>915</v>
      </c>
      <c r="H167" s="963" t="s">
        <v>916</v>
      </c>
    </row>
    <row r="168" spans="1:8" ht="17.100000000000001" customHeight="1">
      <c r="A168" s="1368"/>
      <c r="B168" s="1368"/>
      <c r="C168" s="1407"/>
      <c r="D168" s="1407"/>
      <c r="E168" s="968"/>
      <c r="F168" s="959"/>
      <c r="G168" s="971"/>
      <c r="H168" s="965"/>
    </row>
    <row r="169" spans="1:8" ht="17.100000000000001" customHeight="1">
      <c r="A169" s="1368"/>
      <c r="B169" s="1368"/>
      <c r="C169" s="1407"/>
      <c r="D169" s="1407"/>
      <c r="E169" s="968"/>
      <c r="F169" s="959"/>
      <c r="G169" s="971"/>
      <c r="H169" s="965"/>
    </row>
    <row r="170" spans="1:8" ht="17.100000000000001" customHeight="1">
      <c r="A170" s="1368"/>
      <c r="B170" s="1368"/>
      <c r="C170" s="1407"/>
      <c r="D170" s="1407"/>
      <c r="E170" s="968"/>
      <c r="F170" s="959"/>
      <c r="G170" s="971"/>
      <c r="H170" s="965"/>
    </row>
    <row r="171" spans="1:8" ht="17.100000000000001" customHeight="1">
      <c r="A171" s="1368"/>
      <c r="B171" s="1368"/>
      <c r="C171" s="1407"/>
      <c r="D171" s="1407"/>
      <c r="E171" s="968"/>
      <c r="F171" s="959"/>
      <c r="G171" s="971"/>
      <c r="H171" s="965"/>
    </row>
    <row r="172" spans="1:8" ht="17.100000000000001" customHeight="1">
      <c r="A172" s="1368"/>
      <c r="B172" s="1368"/>
      <c r="C172" s="1407"/>
      <c r="D172" s="1407"/>
      <c r="E172" s="968"/>
      <c r="F172" s="959"/>
      <c r="G172" s="971"/>
      <c r="H172" s="965"/>
    </row>
    <row r="173" spans="1:8" ht="17.100000000000001" customHeight="1">
      <c r="A173" s="1368"/>
      <c r="B173" s="1368"/>
      <c r="C173" s="1407"/>
      <c r="D173" s="1407"/>
      <c r="E173" s="968"/>
      <c r="F173" s="959"/>
      <c r="G173" s="971"/>
      <c r="H173" s="965"/>
    </row>
    <row r="174" spans="1:8" ht="19.5" customHeight="1">
      <c r="A174" s="955" t="s">
        <v>917</v>
      </c>
    </row>
    <row r="175" spans="1:8" ht="15.75" customHeight="1">
      <c r="A175" s="955"/>
      <c r="C175" s="956" t="s">
        <v>918</v>
      </c>
      <c r="G175" s="956" t="s">
        <v>919</v>
      </c>
    </row>
    <row r="176" spans="1:8" ht="35.1" customHeight="1">
      <c r="A176" s="1370" t="s">
        <v>920</v>
      </c>
      <c r="B176" s="1370"/>
      <c r="C176" s="1379">
        <f>B9</f>
        <v>0</v>
      </c>
      <c r="D176" s="1379"/>
      <c r="E176" s="1380" t="s">
        <v>921</v>
      </c>
      <c r="F176" s="1381"/>
      <c r="G176" s="1379">
        <f>C9</f>
        <v>0</v>
      </c>
      <c r="H176" s="1379"/>
    </row>
    <row r="177" spans="1:8" ht="35.1" customHeight="1">
      <c r="A177" s="1370" t="s">
        <v>922</v>
      </c>
      <c r="B177" s="1370"/>
      <c r="C177" s="1379">
        <f>D18</f>
        <v>0</v>
      </c>
      <c r="D177" s="1379"/>
      <c r="E177" s="1380" t="s">
        <v>923</v>
      </c>
      <c r="F177" s="1381"/>
      <c r="G177" s="1379">
        <f>G18</f>
        <v>0</v>
      </c>
      <c r="H177" s="1379"/>
    </row>
    <row r="178" spans="1:8" ht="35.1" customHeight="1">
      <c r="A178" s="1370" t="s">
        <v>924</v>
      </c>
      <c r="B178" s="1370"/>
      <c r="C178" s="1379">
        <f>D27</f>
        <v>0</v>
      </c>
      <c r="D178" s="1379"/>
      <c r="E178" s="1380" t="s">
        <v>925</v>
      </c>
      <c r="F178" s="1381"/>
      <c r="G178" s="1379">
        <f>D34</f>
        <v>0</v>
      </c>
      <c r="H178" s="1379"/>
    </row>
    <row r="179" spans="1:8" ht="35.1" customHeight="1">
      <c r="A179" s="1370" t="s">
        <v>926</v>
      </c>
      <c r="B179" s="1370"/>
      <c r="C179" s="1379">
        <f>E41</f>
        <v>0</v>
      </c>
      <c r="D179" s="1379"/>
      <c r="E179" s="1380" t="s">
        <v>927</v>
      </c>
      <c r="F179" s="1381"/>
      <c r="G179" s="1379">
        <f>F41</f>
        <v>0</v>
      </c>
      <c r="H179" s="1379"/>
    </row>
    <row r="180" spans="1:8" ht="35.1" customHeight="1">
      <c r="A180" s="1370" t="s">
        <v>928</v>
      </c>
      <c r="B180" s="1370"/>
      <c r="C180" s="1379">
        <f>F48</f>
        <v>0</v>
      </c>
      <c r="D180" s="1379"/>
      <c r="E180" s="1380" t="s">
        <v>929</v>
      </c>
      <c r="F180" s="1381"/>
      <c r="G180" s="1379">
        <f>G48</f>
        <v>0</v>
      </c>
      <c r="H180" s="1379"/>
    </row>
    <row r="181" spans="1:8" ht="35.1" customHeight="1">
      <c r="A181" s="1370" t="s">
        <v>930</v>
      </c>
      <c r="B181" s="1370"/>
      <c r="C181" s="1379">
        <f>D61</f>
        <v>0</v>
      </c>
      <c r="D181" s="1379"/>
      <c r="E181" s="1380" t="s">
        <v>931</v>
      </c>
      <c r="F181" s="1409"/>
      <c r="G181" s="1379">
        <f>D67</f>
        <v>0</v>
      </c>
      <c r="H181" s="1379"/>
    </row>
    <row r="182" spans="1:8" ht="35.1" customHeight="1">
      <c r="A182" s="1370" t="s">
        <v>932</v>
      </c>
      <c r="B182" s="1370"/>
      <c r="C182" s="1379">
        <f>F73</f>
        <v>0</v>
      </c>
      <c r="D182" s="1379"/>
      <c r="E182" s="1380" t="s">
        <v>933</v>
      </c>
      <c r="F182" s="1381"/>
      <c r="G182" s="1379">
        <f>G73</f>
        <v>0</v>
      </c>
      <c r="H182" s="1379"/>
    </row>
    <row r="183" spans="1:8" ht="35.1" customHeight="1">
      <c r="A183" s="1370" t="s">
        <v>934</v>
      </c>
      <c r="B183" s="1370"/>
      <c r="C183" s="1379">
        <f>D82</f>
        <v>0</v>
      </c>
      <c r="D183" s="1379"/>
      <c r="E183" s="1380" t="s">
        <v>935</v>
      </c>
      <c r="F183" s="1381"/>
      <c r="G183" s="1379">
        <f>E82</f>
        <v>0</v>
      </c>
      <c r="H183" s="1379"/>
    </row>
    <row r="184" spans="1:8" ht="35.1" customHeight="1">
      <c r="A184" s="1370" t="s">
        <v>936</v>
      </c>
      <c r="B184" s="1370"/>
      <c r="C184" s="1379">
        <f>H89</f>
        <v>0</v>
      </c>
      <c r="D184" s="1379"/>
      <c r="E184" s="1380" t="s">
        <v>937</v>
      </c>
      <c r="F184" s="1381"/>
      <c r="G184" s="1379">
        <f>D97</f>
        <v>0</v>
      </c>
      <c r="H184" s="1379"/>
    </row>
    <row r="185" spans="1:8" ht="35.1" customHeight="1">
      <c r="A185" s="1370" t="s">
        <v>938</v>
      </c>
      <c r="B185" s="1370"/>
      <c r="C185" s="1379">
        <f>E103</f>
        <v>0</v>
      </c>
      <c r="D185" s="1379"/>
      <c r="E185" s="1380" t="s">
        <v>939</v>
      </c>
      <c r="F185" s="1381"/>
      <c r="G185" s="1379">
        <f>SUM(G176:H184)</f>
        <v>0</v>
      </c>
      <c r="H185" s="1379"/>
    </row>
    <row r="186" spans="1:8" ht="35.1" customHeight="1">
      <c r="A186" s="1370" t="s">
        <v>940</v>
      </c>
      <c r="B186" s="1370"/>
      <c r="C186" s="1379">
        <f>E109</f>
        <v>0</v>
      </c>
      <c r="D186" s="1379"/>
      <c r="E186" s="1380" t="s">
        <v>941</v>
      </c>
      <c r="F186" s="1381"/>
      <c r="G186" s="1379">
        <f>C188-G185</f>
        <v>0</v>
      </c>
      <c r="H186" s="1379"/>
    </row>
    <row r="187" spans="1:8" ht="12" customHeight="1">
      <c r="B187" s="103"/>
      <c r="C187" s="1017"/>
      <c r="D187" s="1017"/>
      <c r="G187" s="1018"/>
      <c r="H187" s="1017"/>
    </row>
    <row r="188" spans="1:8" ht="35.1" customHeight="1">
      <c r="A188" s="1370" t="s">
        <v>942</v>
      </c>
      <c r="B188" s="1370"/>
      <c r="C188" s="1379">
        <f>SUM(C176:D186)</f>
        <v>0</v>
      </c>
      <c r="D188" s="1379"/>
      <c r="E188" s="1380" t="s">
        <v>943</v>
      </c>
      <c r="F188" s="1381"/>
      <c r="G188" s="1379">
        <f>G185+G186</f>
        <v>0</v>
      </c>
      <c r="H188" s="1379"/>
    </row>
    <row r="189" spans="1:8" ht="13.5" customHeight="1">
      <c r="A189" s="103"/>
      <c r="B189" s="103"/>
      <c r="C189" s="1017"/>
      <c r="D189" s="1017"/>
      <c r="G189" s="1018"/>
      <c r="H189" s="1018"/>
    </row>
    <row r="190" spans="1:8" ht="35.1" customHeight="1">
      <c r="A190" s="1370" t="s">
        <v>944</v>
      </c>
      <c r="B190" s="1370"/>
      <c r="C190" s="1379">
        <f>E117</f>
        <v>0</v>
      </c>
      <c r="D190" s="1379"/>
      <c r="E190" s="1380" t="s">
        <v>945</v>
      </c>
      <c r="F190" s="1381"/>
      <c r="G190" s="1379">
        <f>E125</f>
        <v>0</v>
      </c>
      <c r="H190" s="1379"/>
    </row>
    <row r="191" spans="1:8" ht="11.25" customHeight="1">
      <c r="A191" s="103"/>
      <c r="B191" s="103"/>
      <c r="C191" s="1017"/>
      <c r="D191" s="1017"/>
      <c r="G191" s="1018"/>
      <c r="H191" s="1018"/>
    </row>
    <row r="192" spans="1:8" ht="35.1" customHeight="1">
      <c r="A192" s="1370" t="s">
        <v>1496</v>
      </c>
      <c r="B192" s="1370"/>
      <c r="C192" s="1379">
        <f>G134</f>
        <v>0</v>
      </c>
      <c r="D192" s="1379"/>
      <c r="E192" s="1380" t="s">
        <v>946</v>
      </c>
      <c r="F192" s="1381"/>
      <c r="G192" s="1379">
        <f>G142</f>
        <v>0</v>
      </c>
      <c r="H192" s="1379"/>
    </row>
    <row r="193" spans="1:9" customFormat="1" ht="13.5" customHeight="1"/>
    <row r="194" spans="1:9" customFormat="1" ht="13.5" customHeight="1"/>
    <row r="195" spans="1:9" s="972" customFormat="1" ht="1.5" customHeight="1"/>
    <row r="196" spans="1:9" s="973" customFormat="1" ht="16.5" customHeight="1"/>
    <row r="197" spans="1:9" ht="24.95" customHeight="1">
      <c r="A197" s="1410" t="s">
        <v>947</v>
      </c>
      <c r="B197" s="1410"/>
      <c r="C197" s="1410"/>
      <c r="D197" s="1410"/>
      <c r="E197" s="1410"/>
      <c r="F197" s="1410"/>
      <c r="G197" s="1410"/>
      <c r="H197" s="1410"/>
      <c r="I197" s="1410"/>
    </row>
    <row r="198" spans="1:9" ht="22.5" customHeight="1">
      <c r="A198" s="1410"/>
      <c r="B198" s="1410"/>
      <c r="C198" s="1410"/>
      <c r="D198" s="1410"/>
      <c r="E198" s="1410"/>
      <c r="F198" s="1410"/>
      <c r="G198" s="1410"/>
      <c r="H198" s="1410"/>
      <c r="I198" s="1410"/>
    </row>
    <row r="199" spans="1:9" ht="15" customHeight="1">
      <c r="A199" s="974" t="s">
        <v>948</v>
      </c>
      <c r="B199" s="1411"/>
      <c r="C199" s="1412"/>
      <c r="D199" s="975" t="s">
        <v>949</v>
      </c>
      <c r="E199" s="1413"/>
      <c r="F199" s="1414"/>
    </row>
    <row r="200" spans="1:9" ht="14.25" customHeight="1">
      <c r="A200" s="974" t="s">
        <v>950</v>
      </c>
      <c r="B200" s="1411"/>
      <c r="C200" s="1412"/>
      <c r="D200" s="975" t="s">
        <v>949</v>
      </c>
      <c r="E200" s="1413"/>
      <c r="F200" s="1414"/>
    </row>
  </sheetData>
  <sheetProtection password="D405" objects="1" scenarios="1"/>
  <mergeCells count="383">
    <mergeCell ref="A197:I198"/>
    <mergeCell ref="B199:C199"/>
    <mergeCell ref="E199:F199"/>
    <mergeCell ref="B200:C200"/>
    <mergeCell ref="E200:F200"/>
    <mergeCell ref="A192:B192"/>
    <mergeCell ref="C192:D192"/>
    <mergeCell ref="E192:F192"/>
    <mergeCell ref="G192:H192"/>
    <mergeCell ref="A186:B186"/>
    <mergeCell ref="C186:D186"/>
    <mergeCell ref="E186:F186"/>
    <mergeCell ref="G186:H186"/>
    <mergeCell ref="A185:B185"/>
    <mergeCell ref="C185:D185"/>
    <mergeCell ref="E185:F185"/>
    <mergeCell ref="G185:H185"/>
    <mergeCell ref="A190:B190"/>
    <mergeCell ref="C190:D190"/>
    <mergeCell ref="E190:F190"/>
    <mergeCell ref="G190:H190"/>
    <mergeCell ref="A188:B188"/>
    <mergeCell ref="C188:D188"/>
    <mergeCell ref="E188:F188"/>
    <mergeCell ref="G188:H188"/>
    <mergeCell ref="A182:B182"/>
    <mergeCell ref="C182:D182"/>
    <mergeCell ref="E182:F182"/>
    <mergeCell ref="G182:H182"/>
    <mergeCell ref="A181:B181"/>
    <mergeCell ref="C181:D181"/>
    <mergeCell ref="E181:F181"/>
    <mergeCell ref="G181:H181"/>
    <mergeCell ref="A184:B184"/>
    <mergeCell ref="C184:D184"/>
    <mergeCell ref="E184:F184"/>
    <mergeCell ref="G184:H184"/>
    <mergeCell ref="A183:B183"/>
    <mergeCell ref="C183:D183"/>
    <mergeCell ref="E183:F183"/>
    <mergeCell ref="G183:H183"/>
    <mergeCell ref="G178:H178"/>
    <mergeCell ref="E176:F176"/>
    <mergeCell ref="G176:H176"/>
    <mergeCell ref="A177:B177"/>
    <mergeCell ref="C177:D177"/>
    <mergeCell ref="E177:F177"/>
    <mergeCell ref="G177:H177"/>
    <mergeCell ref="A180:B180"/>
    <mergeCell ref="C180:D180"/>
    <mergeCell ref="E180:F180"/>
    <mergeCell ref="G180:H180"/>
    <mergeCell ref="A179:B179"/>
    <mergeCell ref="C179:D179"/>
    <mergeCell ref="E179:F179"/>
    <mergeCell ref="G179:H179"/>
    <mergeCell ref="A176:B176"/>
    <mergeCell ref="C176:D176"/>
    <mergeCell ref="A171:B171"/>
    <mergeCell ref="C171:D171"/>
    <mergeCell ref="A172:B172"/>
    <mergeCell ref="C172:D172"/>
    <mergeCell ref="A178:B178"/>
    <mergeCell ref="C178:D178"/>
    <mergeCell ref="E178:F178"/>
    <mergeCell ref="A170:B170"/>
    <mergeCell ref="C170:D170"/>
    <mergeCell ref="A166:B166"/>
    <mergeCell ref="A167:B167"/>
    <mergeCell ref="C167:D167"/>
    <mergeCell ref="A168:B168"/>
    <mergeCell ref="C168:D168"/>
    <mergeCell ref="A173:B173"/>
    <mergeCell ref="C173:D173"/>
    <mergeCell ref="A160:G165"/>
    <mergeCell ref="A156:B156"/>
    <mergeCell ref="C156:D156"/>
    <mergeCell ref="E156:F156"/>
    <mergeCell ref="A157:B157"/>
    <mergeCell ref="C157:D157"/>
    <mergeCell ref="E157:F157"/>
    <mergeCell ref="A169:B169"/>
    <mergeCell ref="C169:D169"/>
    <mergeCell ref="A154:B154"/>
    <mergeCell ref="C154:D154"/>
    <mergeCell ref="E154:F154"/>
    <mergeCell ref="A155:B155"/>
    <mergeCell ref="C155:D155"/>
    <mergeCell ref="E155:F155"/>
    <mergeCell ref="A158:B158"/>
    <mergeCell ref="C158:D158"/>
    <mergeCell ref="E158:F158"/>
    <mergeCell ref="A151:B151"/>
    <mergeCell ref="C151:D151"/>
    <mergeCell ref="E151:F151"/>
    <mergeCell ref="A152:B152"/>
    <mergeCell ref="C152:D152"/>
    <mergeCell ref="E152:F152"/>
    <mergeCell ref="A153:B153"/>
    <mergeCell ref="C153:D153"/>
    <mergeCell ref="E153:F153"/>
    <mergeCell ref="A148:B148"/>
    <mergeCell ref="C148:D148"/>
    <mergeCell ref="E148:F148"/>
    <mergeCell ref="A149:B149"/>
    <mergeCell ref="C149:D149"/>
    <mergeCell ref="E149:F149"/>
    <mergeCell ref="A150:B150"/>
    <mergeCell ref="C150:D150"/>
    <mergeCell ref="E150:F150"/>
    <mergeCell ref="A145:B145"/>
    <mergeCell ref="C145:D145"/>
    <mergeCell ref="E145:F145"/>
    <mergeCell ref="A146:B146"/>
    <mergeCell ref="C146:D146"/>
    <mergeCell ref="E146:F146"/>
    <mergeCell ref="A147:B147"/>
    <mergeCell ref="C147:D147"/>
    <mergeCell ref="E147:F147"/>
    <mergeCell ref="A142:B142"/>
    <mergeCell ref="C142:D142"/>
    <mergeCell ref="E142:F142"/>
    <mergeCell ref="G142:H142"/>
    <mergeCell ref="A141:B141"/>
    <mergeCell ref="C141:D141"/>
    <mergeCell ref="E141:F141"/>
    <mergeCell ref="G141:H141"/>
    <mergeCell ref="A144:B144"/>
    <mergeCell ref="C144:D144"/>
    <mergeCell ref="E144:F144"/>
    <mergeCell ref="A138:B138"/>
    <mergeCell ref="C138:D138"/>
    <mergeCell ref="E138:F138"/>
    <mergeCell ref="G138:H138"/>
    <mergeCell ref="A137:B137"/>
    <mergeCell ref="C137:D137"/>
    <mergeCell ref="E137:F137"/>
    <mergeCell ref="G137:H137"/>
    <mergeCell ref="A140:B140"/>
    <mergeCell ref="C140:D140"/>
    <mergeCell ref="E140:F140"/>
    <mergeCell ref="G140:H140"/>
    <mergeCell ref="A139:B139"/>
    <mergeCell ref="C139:D139"/>
    <mergeCell ref="E139:F139"/>
    <mergeCell ref="G139:H139"/>
    <mergeCell ref="A134:B134"/>
    <mergeCell ref="C134:D134"/>
    <mergeCell ref="E134:F134"/>
    <mergeCell ref="G134:H134"/>
    <mergeCell ref="A133:B133"/>
    <mergeCell ref="C133:D133"/>
    <mergeCell ref="E133:F133"/>
    <mergeCell ref="G133:H133"/>
    <mergeCell ref="A136:B136"/>
    <mergeCell ref="C136:D136"/>
    <mergeCell ref="E136:F136"/>
    <mergeCell ref="G136:H136"/>
    <mergeCell ref="A135:B135"/>
    <mergeCell ref="C135:D135"/>
    <mergeCell ref="E135:F135"/>
    <mergeCell ref="G135:H135"/>
    <mergeCell ref="A130:B130"/>
    <mergeCell ref="C130:D130"/>
    <mergeCell ref="E130:F130"/>
    <mergeCell ref="G130:H130"/>
    <mergeCell ref="A129:B129"/>
    <mergeCell ref="C129:D129"/>
    <mergeCell ref="E129:F129"/>
    <mergeCell ref="G129:H129"/>
    <mergeCell ref="A132:B132"/>
    <mergeCell ref="C132:D132"/>
    <mergeCell ref="E132:F132"/>
    <mergeCell ref="G132:H132"/>
    <mergeCell ref="A131:B131"/>
    <mergeCell ref="C131:D131"/>
    <mergeCell ref="E131:F131"/>
    <mergeCell ref="G131:H131"/>
    <mergeCell ref="A128:B128"/>
    <mergeCell ref="C128:D128"/>
    <mergeCell ref="E128:F128"/>
    <mergeCell ref="G128:H128"/>
    <mergeCell ref="A125:D125"/>
    <mergeCell ref="E125:F125"/>
    <mergeCell ref="G125:H125"/>
    <mergeCell ref="A127:B127"/>
    <mergeCell ref="C127:D127"/>
    <mergeCell ref="E127:F127"/>
    <mergeCell ref="A122:D122"/>
    <mergeCell ref="E122:F122"/>
    <mergeCell ref="G122:H122"/>
    <mergeCell ref="G127:H127"/>
    <mergeCell ref="A123:D123"/>
    <mergeCell ref="E123:F123"/>
    <mergeCell ref="G123:H123"/>
    <mergeCell ref="A124:D124"/>
    <mergeCell ref="E124:F124"/>
    <mergeCell ref="G124:H124"/>
    <mergeCell ref="A119:D119"/>
    <mergeCell ref="E119:F119"/>
    <mergeCell ref="G119:H119"/>
    <mergeCell ref="A120:D120"/>
    <mergeCell ref="E120:F120"/>
    <mergeCell ref="G120:H120"/>
    <mergeCell ref="A121:D121"/>
    <mergeCell ref="E121:F121"/>
    <mergeCell ref="G121:H121"/>
    <mergeCell ref="A115:D115"/>
    <mergeCell ref="E115:F115"/>
    <mergeCell ref="G115:H115"/>
    <mergeCell ref="A116:D116"/>
    <mergeCell ref="E116:F116"/>
    <mergeCell ref="G116:H116"/>
    <mergeCell ref="A117:D117"/>
    <mergeCell ref="E117:F117"/>
    <mergeCell ref="G117:H117"/>
    <mergeCell ref="A112:D112"/>
    <mergeCell ref="E112:F112"/>
    <mergeCell ref="G112:H112"/>
    <mergeCell ref="A113:D113"/>
    <mergeCell ref="E113:F113"/>
    <mergeCell ref="G113:H113"/>
    <mergeCell ref="A114:D114"/>
    <mergeCell ref="E114:F114"/>
    <mergeCell ref="G114:H114"/>
    <mergeCell ref="A109:C109"/>
    <mergeCell ref="F109:G109"/>
    <mergeCell ref="A111:D111"/>
    <mergeCell ref="E111:F111"/>
    <mergeCell ref="G111:H111"/>
    <mergeCell ref="A107:C107"/>
    <mergeCell ref="F107:G107"/>
    <mergeCell ref="A108:C108"/>
    <mergeCell ref="F108:G108"/>
    <mergeCell ref="A100:C100"/>
    <mergeCell ref="F100:G100"/>
    <mergeCell ref="A101:C101"/>
    <mergeCell ref="F101:G101"/>
    <mergeCell ref="A97:C97"/>
    <mergeCell ref="F97:G97"/>
    <mergeCell ref="A105:C105"/>
    <mergeCell ref="F105:G105"/>
    <mergeCell ref="A106:C106"/>
    <mergeCell ref="F106:G106"/>
    <mergeCell ref="A102:C102"/>
    <mergeCell ref="F102:G102"/>
    <mergeCell ref="A103:C103"/>
    <mergeCell ref="F103:G103"/>
    <mergeCell ref="A94:C94"/>
    <mergeCell ref="F94:G94"/>
    <mergeCell ref="H94:I94"/>
    <mergeCell ref="H97:I97"/>
    <mergeCell ref="A99:C99"/>
    <mergeCell ref="F99:G99"/>
    <mergeCell ref="A95:C95"/>
    <mergeCell ref="F95:G95"/>
    <mergeCell ref="H95:I95"/>
    <mergeCell ref="A96:C96"/>
    <mergeCell ref="F96:G96"/>
    <mergeCell ref="H96:I96"/>
    <mergeCell ref="A92:C92"/>
    <mergeCell ref="F92:G92"/>
    <mergeCell ref="H92:I92"/>
    <mergeCell ref="A89:B89"/>
    <mergeCell ref="C89:D89"/>
    <mergeCell ref="A91:C91"/>
    <mergeCell ref="F91:G91"/>
    <mergeCell ref="A93:C93"/>
    <mergeCell ref="F93:G93"/>
    <mergeCell ref="H93:I93"/>
    <mergeCell ref="A87:B87"/>
    <mergeCell ref="C87:D87"/>
    <mergeCell ref="A88:B88"/>
    <mergeCell ref="C88:D88"/>
    <mergeCell ref="A85:B85"/>
    <mergeCell ref="C85:D85"/>
    <mergeCell ref="A86:B86"/>
    <mergeCell ref="C86:D86"/>
    <mergeCell ref="H91:I91"/>
    <mergeCell ref="A82:B82"/>
    <mergeCell ref="F82:G82"/>
    <mergeCell ref="H82:I82"/>
    <mergeCell ref="A84:B84"/>
    <mergeCell ref="C84:D84"/>
    <mergeCell ref="A80:B80"/>
    <mergeCell ref="F80:G80"/>
    <mergeCell ref="H80:I80"/>
    <mergeCell ref="A81:B81"/>
    <mergeCell ref="F81:G81"/>
    <mergeCell ref="A77:B77"/>
    <mergeCell ref="F77:G77"/>
    <mergeCell ref="H77:I77"/>
    <mergeCell ref="H81:I81"/>
    <mergeCell ref="A78:B78"/>
    <mergeCell ref="F78:G78"/>
    <mergeCell ref="H78:I78"/>
    <mergeCell ref="A79:B79"/>
    <mergeCell ref="F79:G79"/>
    <mergeCell ref="H79:I79"/>
    <mergeCell ref="A75:B75"/>
    <mergeCell ref="F75:G75"/>
    <mergeCell ref="H75:I75"/>
    <mergeCell ref="C71:D71"/>
    <mergeCell ref="H71:I71"/>
    <mergeCell ref="C72:D72"/>
    <mergeCell ref="H72:I72"/>
    <mergeCell ref="A76:B76"/>
    <mergeCell ref="F76:G76"/>
    <mergeCell ref="H76:I76"/>
    <mergeCell ref="C69:D69"/>
    <mergeCell ref="H69:I69"/>
    <mergeCell ref="C70:D70"/>
    <mergeCell ref="H70:I70"/>
    <mergeCell ref="E64:G64"/>
    <mergeCell ref="E65:G65"/>
    <mergeCell ref="E66:G66"/>
    <mergeCell ref="E67:G67"/>
    <mergeCell ref="C73:D73"/>
    <mergeCell ref="H73:I73"/>
    <mergeCell ref="H39:I39"/>
    <mergeCell ref="A33:B33"/>
    <mergeCell ref="E33:F33"/>
    <mergeCell ref="A34:B34"/>
    <mergeCell ref="E34:F34"/>
    <mergeCell ref="E59:G59"/>
    <mergeCell ref="E60:G60"/>
    <mergeCell ref="E61:G61"/>
    <mergeCell ref="E63:G63"/>
    <mergeCell ref="H40:I40"/>
    <mergeCell ref="H41:I41"/>
    <mergeCell ref="E57:G57"/>
    <mergeCell ref="E58:G58"/>
    <mergeCell ref="A32:B32"/>
    <mergeCell ref="E32:F32"/>
    <mergeCell ref="A29:B29"/>
    <mergeCell ref="E29:F29"/>
    <mergeCell ref="A30:B30"/>
    <mergeCell ref="E30:F30"/>
    <mergeCell ref="H36:I36"/>
    <mergeCell ref="H37:I37"/>
    <mergeCell ref="H38:I38"/>
    <mergeCell ref="E26:F26"/>
    <mergeCell ref="G26:H26"/>
    <mergeCell ref="E27:F27"/>
    <mergeCell ref="G27:H27"/>
    <mergeCell ref="E24:F24"/>
    <mergeCell ref="G24:H24"/>
    <mergeCell ref="E25:F25"/>
    <mergeCell ref="G25:H25"/>
    <mergeCell ref="A31:B31"/>
    <mergeCell ref="E31:F31"/>
    <mergeCell ref="E18:F18"/>
    <mergeCell ref="H18:I18"/>
    <mergeCell ref="E15:F15"/>
    <mergeCell ref="H15:I15"/>
    <mergeCell ref="E16:F16"/>
    <mergeCell ref="H16:I16"/>
    <mergeCell ref="E22:F22"/>
    <mergeCell ref="G22:H22"/>
    <mergeCell ref="E23:F23"/>
    <mergeCell ref="G23:H23"/>
    <mergeCell ref="E20:F20"/>
    <mergeCell ref="G20:H20"/>
    <mergeCell ref="E21:F21"/>
    <mergeCell ref="G21:H21"/>
    <mergeCell ref="H13:I13"/>
    <mergeCell ref="E14:F14"/>
    <mergeCell ref="H14:I14"/>
    <mergeCell ref="E11:F11"/>
    <mergeCell ref="H11:I11"/>
    <mergeCell ref="E12:F12"/>
    <mergeCell ref="H12:I12"/>
    <mergeCell ref="E17:F17"/>
    <mergeCell ref="H17:I17"/>
    <mergeCell ref="E6:G6"/>
    <mergeCell ref="E7:G7"/>
    <mergeCell ref="E8:G8"/>
    <mergeCell ref="E9:G9"/>
    <mergeCell ref="E2:G2"/>
    <mergeCell ref="E3:G3"/>
    <mergeCell ref="E4:G4"/>
    <mergeCell ref="E5:G5"/>
    <mergeCell ref="E13:F13"/>
  </mergeCells>
  <phoneticPr fontId="140" type="noConversion"/>
  <printOptions horizontalCentered="1"/>
  <pageMargins left="0.35" right="0.2" top="0.38" bottom="0.16" header="0.25" footer="0.26"/>
  <pageSetup scale="79" orientation="landscape" blackAndWhite="1" r:id="rId1"/>
  <headerFooter alignWithMargins="0">
    <oddHeader>&amp;C&amp;"Times New Roman,Bold"&amp;12EXHIBIT 31B- ONESTOP APPLICATION</oddHeader>
    <oddFooter>&amp;L&amp;"Times New Roman,Regular"&amp;10Exhibit 31B&amp;R&amp;"Times New Roman,Regular"&amp;10Page &amp;P</oddFooter>
  </headerFooter>
  <rowBreaks count="7" manualBreakCount="7">
    <brk id="27" max="16383" man="1"/>
    <brk id="55" max="16383" man="1"/>
    <brk id="82" max="16383" man="1"/>
    <brk id="109" max="16383" man="1"/>
    <brk id="125" max="16383" man="1"/>
    <brk id="142" max="16383" man="1"/>
    <brk id="1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G84"/>
  <sheetViews>
    <sheetView zoomScaleNormal="100" workbookViewId="0"/>
  </sheetViews>
  <sheetFormatPr defaultRowHeight="15.75"/>
  <cols>
    <col min="1" max="16384" width="9.33203125" style="294"/>
  </cols>
  <sheetData>
    <row r="1" spans="1:7" ht="16.5" thickBot="1">
      <c r="A1" s="675">
        <f>'1. Description'!A33</f>
        <v>10</v>
      </c>
      <c r="B1" s="676" t="str">
        <f>'1. Description'!C33</f>
        <v>Proposed Housing Type</v>
      </c>
    </row>
    <row r="2" spans="1:7">
      <c r="A2" s="782"/>
      <c r="B2" s="783" t="s">
        <v>343</v>
      </c>
      <c r="C2" s="783"/>
      <c r="D2" s="783"/>
      <c r="E2" s="783"/>
      <c r="F2" s="783"/>
      <c r="G2" s="784"/>
    </row>
    <row r="3" spans="1:7">
      <c r="A3" s="785"/>
      <c r="B3" s="781" t="s">
        <v>344</v>
      </c>
      <c r="C3" s="781"/>
      <c r="D3" s="781"/>
      <c r="E3" s="781"/>
      <c r="F3" s="781"/>
      <c r="G3" s="786"/>
    </row>
    <row r="4" spans="1:7">
      <c r="A4" s="785"/>
      <c r="B4" s="781" t="s">
        <v>345</v>
      </c>
      <c r="C4" s="781"/>
      <c r="D4" s="781"/>
      <c r="E4" s="781"/>
      <c r="F4" s="781"/>
      <c r="G4" s="786"/>
    </row>
    <row r="5" spans="1:7">
      <c r="A5" s="785"/>
      <c r="B5" s="781" t="s">
        <v>346</v>
      </c>
      <c r="C5" s="781"/>
      <c r="D5" s="781"/>
      <c r="E5" s="781"/>
      <c r="F5" s="781"/>
      <c r="G5" s="786"/>
    </row>
    <row r="6" spans="1:7">
      <c r="A6" s="785"/>
      <c r="B6" s="781" t="s">
        <v>347</v>
      </c>
      <c r="C6" s="781"/>
      <c r="D6" s="781"/>
      <c r="E6" s="781"/>
      <c r="F6" s="781"/>
      <c r="G6" s="786"/>
    </row>
    <row r="7" spans="1:7">
      <c r="A7" s="785"/>
      <c r="B7" s="781" t="s">
        <v>326</v>
      </c>
      <c r="C7" s="781"/>
      <c r="D7" s="781"/>
      <c r="E7" s="781"/>
      <c r="F7" s="781"/>
      <c r="G7" s="786"/>
    </row>
    <row r="8" spans="1:7">
      <c r="A8" s="785"/>
      <c r="B8" s="840"/>
      <c r="C8" s="781"/>
      <c r="D8" s="781"/>
      <c r="E8" s="781"/>
      <c r="F8" s="781"/>
      <c r="G8" s="786"/>
    </row>
    <row r="9" spans="1:7">
      <c r="A9" s="785"/>
      <c r="B9" s="840"/>
      <c r="C9" s="781"/>
      <c r="D9" s="781"/>
      <c r="E9" s="781"/>
      <c r="F9" s="781"/>
      <c r="G9" s="786"/>
    </row>
    <row r="10" spans="1:7">
      <c r="A10" s="785"/>
      <c r="B10" s="840"/>
      <c r="C10" s="781"/>
      <c r="D10" s="781"/>
      <c r="E10" s="781"/>
      <c r="F10" s="781"/>
      <c r="G10" s="786"/>
    </row>
    <row r="11" spans="1:7">
      <c r="A11" s="785"/>
      <c r="B11" s="840"/>
      <c r="C11" s="781"/>
      <c r="D11" s="781"/>
      <c r="E11" s="781"/>
      <c r="F11" s="781"/>
      <c r="G11" s="786"/>
    </row>
    <row r="12" spans="1:7" ht="16.5" thickBot="1">
      <c r="A12" s="787"/>
      <c r="B12" s="841"/>
      <c r="C12" s="788"/>
      <c r="D12" s="788"/>
      <c r="E12" s="788"/>
      <c r="F12" s="788"/>
      <c r="G12" s="789"/>
    </row>
    <row r="13" spans="1:7" ht="16.5" thickBot="1">
      <c r="A13" s="675">
        <f>'2. Dev. Team'!A6</f>
        <v>62</v>
      </c>
      <c r="B13" s="676" t="str">
        <f>'2. Dev. Team'!C6</f>
        <v xml:space="preserve">Developer/Sponsor Type </v>
      </c>
    </row>
    <row r="14" spans="1:7">
      <c r="A14" s="782"/>
      <c r="B14" s="783" t="s">
        <v>348</v>
      </c>
      <c r="C14" s="783"/>
      <c r="D14" s="783"/>
      <c r="E14" s="783"/>
      <c r="F14" s="783"/>
      <c r="G14" s="784"/>
    </row>
    <row r="15" spans="1:7">
      <c r="A15" s="785"/>
      <c r="B15" s="781" t="s">
        <v>349</v>
      </c>
      <c r="C15" s="781"/>
      <c r="D15" s="781"/>
      <c r="E15" s="781"/>
      <c r="F15" s="781"/>
      <c r="G15" s="786"/>
    </row>
    <row r="16" spans="1:7">
      <c r="A16" s="785"/>
      <c r="B16" s="781" t="s">
        <v>350</v>
      </c>
      <c r="C16" s="781"/>
      <c r="D16" s="781"/>
      <c r="E16" s="781"/>
      <c r="F16" s="781"/>
      <c r="G16" s="786"/>
    </row>
    <row r="17" spans="1:7">
      <c r="A17" s="785"/>
      <c r="B17" s="781" t="s">
        <v>351</v>
      </c>
      <c r="C17" s="781"/>
      <c r="D17" s="781"/>
      <c r="E17" s="781"/>
      <c r="F17" s="781"/>
      <c r="G17" s="786"/>
    </row>
    <row r="18" spans="1:7">
      <c r="A18" s="785"/>
      <c r="B18" s="781" t="s">
        <v>334</v>
      </c>
      <c r="C18" s="781"/>
      <c r="D18" s="781"/>
      <c r="E18" s="781"/>
      <c r="F18" s="781"/>
      <c r="G18" s="786"/>
    </row>
    <row r="19" spans="1:7">
      <c r="A19" s="785"/>
      <c r="B19" s="927" t="s">
        <v>1284</v>
      </c>
      <c r="C19" s="781"/>
      <c r="D19" s="781"/>
      <c r="E19" s="781"/>
      <c r="F19" s="781"/>
      <c r="G19" s="786"/>
    </row>
    <row r="20" spans="1:7">
      <c r="A20" s="785"/>
      <c r="B20" s="840"/>
      <c r="C20" s="781"/>
      <c r="D20" s="781"/>
      <c r="E20" s="781"/>
      <c r="F20" s="781"/>
      <c r="G20" s="786"/>
    </row>
    <row r="21" spans="1:7">
      <c r="A21" s="785"/>
      <c r="B21" s="840"/>
      <c r="C21" s="781"/>
      <c r="D21" s="781"/>
      <c r="E21" s="781"/>
      <c r="F21" s="781"/>
      <c r="G21" s="786"/>
    </row>
    <row r="22" spans="1:7">
      <c r="A22" s="785"/>
      <c r="B22" s="840"/>
      <c r="C22" s="781"/>
      <c r="D22" s="781"/>
      <c r="E22" s="781"/>
      <c r="F22" s="781"/>
      <c r="G22" s="786"/>
    </row>
    <row r="23" spans="1:7">
      <c r="A23" s="785"/>
      <c r="B23" s="840"/>
      <c r="C23" s="781"/>
      <c r="D23" s="781"/>
      <c r="E23" s="781"/>
      <c r="F23" s="781"/>
      <c r="G23" s="786"/>
    </row>
    <row r="24" spans="1:7" ht="16.5" thickBot="1">
      <c r="A24" s="787"/>
      <c r="B24" s="841"/>
      <c r="C24" s="788"/>
      <c r="D24" s="788"/>
      <c r="E24" s="788"/>
      <c r="F24" s="788"/>
      <c r="G24" s="789"/>
    </row>
    <row r="25" spans="1:7" ht="16.5" thickBot="1">
      <c r="A25" s="675">
        <f>'1. Description'!A149</f>
        <v>22</v>
      </c>
      <c r="B25" s="676" t="s">
        <v>342</v>
      </c>
    </row>
    <row r="26" spans="1:7">
      <c r="A26" s="782"/>
      <c r="B26" s="783" t="s">
        <v>352</v>
      </c>
      <c r="C26" s="783"/>
      <c r="D26" s="783"/>
      <c r="E26" s="783"/>
      <c r="F26" s="783"/>
      <c r="G26" s="784"/>
    </row>
    <row r="27" spans="1:7">
      <c r="A27" s="785"/>
      <c r="B27" s="781" t="s">
        <v>353</v>
      </c>
      <c r="C27" s="781"/>
      <c r="D27" s="781"/>
      <c r="E27" s="781"/>
      <c r="F27" s="781"/>
      <c r="G27" s="786"/>
    </row>
    <row r="28" spans="1:7">
      <c r="A28" s="785"/>
      <c r="B28" s="781" t="s">
        <v>354</v>
      </c>
      <c r="C28" s="781"/>
      <c r="D28" s="781"/>
      <c r="E28" s="781"/>
      <c r="F28" s="781"/>
      <c r="G28" s="786"/>
    </row>
    <row r="29" spans="1:7">
      <c r="A29" s="785"/>
      <c r="B29" s="781" t="s">
        <v>355</v>
      </c>
      <c r="C29" s="781"/>
      <c r="D29" s="781"/>
      <c r="E29" s="781"/>
      <c r="F29" s="781"/>
      <c r="G29" s="786"/>
    </row>
    <row r="30" spans="1:7">
      <c r="A30" s="785"/>
      <c r="B30" s="781" t="s">
        <v>471</v>
      </c>
      <c r="C30" s="781"/>
      <c r="D30" s="781"/>
      <c r="E30" s="781"/>
      <c r="F30" s="781"/>
      <c r="G30" s="786"/>
    </row>
    <row r="31" spans="1:7">
      <c r="A31" s="785"/>
      <c r="B31" s="840"/>
      <c r="C31" s="781"/>
      <c r="D31" s="781"/>
      <c r="E31" s="781"/>
      <c r="F31" s="781"/>
      <c r="G31" s="786"/>
    </row>
    <row r="32" spans="1:7">
      <c r="A32" s="785"/>
      <c r="B32" s="840"/>
      <c r="C32" s="781"/>
      <c r="D32" s="781"/>
      <c r="E32" s="781"/>
      <c r="F32" s="781"/>
      <c r="G32" s="786"/>
    </row>
    <row r="33" spans="1:7">
      <c r="A33" s="785"/>
      <c r="B33" s="840"/>
      <c r="C33" s="781"/>
      <c r="D33" s="781"/>
      <c r="E33" s="781"/>
      <c r="F33" s="781"/>
      <c r="G33" s="786"/>
    </row>
    <row r="34" spans="1:7">
      <c r="A34" s="785"/>
      <c r="B34" s="840"/>
      <c r="C34" s="781"/>
      <c r="D34" s="781"/>
      <c r="E34" s="781"/>
      <c r="F34" s="781"/>
      <c r="G34" s="786"/>
    </row>
    <row r="35" spans="1:7">
      <c r="A35" s="785"/>
      <c r="B35" s="840"/>
      <c r="C35" s="781"/>
      <c r="D35" s="781"/>
      <c r="E35" s="781"/>
      <c r="F35" s="781"/>
      <c r="G35" s="786"/>
    </row>
    <row r="36" spans="1:7" ht="16.5" thickBot="1">
      <c r="A36" s="787"/>
      <c r="B36" s="841"/>
      <c r="C36" s="788"/>
      <c r="D36" s="788"/>
      <c r="E36" s="788"/>
      <c r="F36" s="788"/>
      <c r="G36" s="789"/>
    </row>
    <row r="37" spans="1:7" ht="16.5" thickBot="1">
      <c r="A37" s="675">
        <f>'1. Description'!A176</f>
        <v>26</v>
      </c>
      <c r="B37" s="676" t="s">
        <v>735</v>
      </c>
    </row>
    <row r="38" spans="1:7">
      <c r="A38" s="782"/>
      <c r="B38" s="783" t="s">
        <v>736</v>
      </c>
      <c r="C38" s="783"/>
      <c r="D38" s="783"/>
      <c r="E38" s="783"/>
      <c r="F38" s="783"/>
      <c r="G38" s="784"/>
    </row>
    <row r="39" spans="1:7">
      <c r="A39" s="785"/>
      <c r="B39" s="781" t="s">
        <v>737</v>
      </c>
      <c r="C39" s="781"/>
      <c r="D39" s="781"/>
      <c r="E39" s="781"/>
      <c r="F39" s="781"/>
      <c r="G39" s="786"/>
    </row>
    <row r="40" spans="1:7">
      <c r="A40" s="785"/>
      <c r="B40" s="781" t="s">
        <v>738</v>
      </c>
      <c r="C40" s="781"/>
      <c r="D40" s="781"/>
      <c r="E40" s="781"/>
      <c r="F40" s="781"/>
      <c r="G40" s="786"/>
    </row>
    <row r="41" spans="1:7">
      <c r="A41" s="785"/>
      <c r="B41" s="781" t="s">
        <v>1454</v>
      </c>
      <c r="C41" s="781"/>
      <c r="D41" s="781"/>
      <c r="E41" s="781"/>
      <c r="F41" s="781"/>
      <c r="G41" s="786"/>
    </row>
    <row r="42" spans="1:7">
      <c r="A42" s="785"/>
      <c r="B42" s="840"/>
      <c r="C42" s="781"/>
      <c r="D42" s="781"/>
      <c r="E42" s="781"/>
      <c r="F42" s="781"/>
      <c r="G42" s="786"/>
    </row>
    <row r="43" spans="1:7">
      <c r="A43" s="785"/>
      <c r="B43" s="840"/>
      <c r="C43" s="781"/>
      <c r="D43" s="781"/>
      <c r="E43" s="781"/>
      <c r="F43" s="781"/>
      <c r="G43" s="786"/>
    </row>
    <row r="44" spans="1:7">
      <c r="A44" s="785"/>
      <c r="B44" s="840"/>
      <c r="C44" s="781"/>
      <c r="D44" s="781"/>
      <c r="E44" s="781"/>
      <c r="F44" s="781"/>
      <c r="G44" s="786"/>
    </row>
    <row r="45" spans="1:7">
      <c r="A45" s="785"/>
      <c r="B45" s="840"/>
      <c r="C45" s="781"/>
      <c r="D45" s="781"/>
      <c r="E45" s="781"/>
      <c r="F45" s="781"/>
      <c r="G45" s="786"/>
    </row>
    <row r="46" spans="1:7">
      <c r="A46" s="785"/>
      <c r="B46" s="840"/>
      <c r="C46" s="781"/>
      <c r="D46" s="781"/>
      <c r="E46" s="781"/>
      <c r="F46" s="781"/>
      <c r="G46" s="786"/>
    </row>
    <row r="47" spans="1:7">
      <c r="A47" s="785"/>
      <c r="B47" s="840"/>
      <c r="C47" s="781"/>
      <c r="D47" s="781"/>
      <c r="E47" s="781"/>
      <c r="F47" s="781"/>
      <c r="G47" s="786"/>
    </row>
    <row r="48" spans="1:7" ht="16.5" thickBot="1">
      <c r="A48" s="787"/>
      <c r="B48" s="841"/>
      <c r="C48" s="788"/>
      <c r="D48" s="788"/>
      <c r="E48" s="788"/>
      <c r="F48" s="788"/>
      <c r="G48" s="789"/>
    </row>
    <row r="49" spans="1:7" ht="16.5" thickBot="1">
      <c r="A49" s="675">
        <f>'1. Description'!A264</f>
        <v>45</v>
      </c>
      <c r="B49" s="676" t="s">
        <v>785</v>
      </c>
    </row>
    <row r="50" spans="1:7">
      <c r="A50" s="782"/>
      <c r="B50" s="783" t="s">
        <v>786</v>
      </c>
      <c r="C50" s="783"/>
      <c r="D50" s="783"/>
      <c r="E50" s="783"/>
      <c r="F50" s="783"/>
      <c r="G50" s="784"/>
    </row>
    <row r="51" spans="1:7">
      <c r="A51" s="785"/>
      <c r="B51" s="781" t="s">
        <v>787</v>
      </c>
      <c r="C51" s="781"/>
      <c r="D51" s="781"/>
      <c r="E51" s="781"/>
      <c r="F51" s="781"/>
      <c r="G51" s="786"/>
    </row>
    <row r="52" spans="1:7">
      <c r="A52" s="785"/>
      <c r="B52" s="781" t="s">
        <v>788</v>
      </c>
      <c r="C52" s="781"/>
      <c r="D52" s="781"/>
      <c r="E52" s="781"/>
      <c r="F52" s="781"/>
      <c r="G52" s="786"/>
    </row>
    <row r="53" spans="1:7">
      <c r="A53" s="785"/>
      <c r="B53" s="781" t="s">
        <v>789</v>
      </c>
      <c r="C53" s="781"/>
      <c r="D53" s="781"/>
      <c r="E53" s="781"/>
      <c r="F53" s="781"/>
      <c r="G53" s="786"/>
    </row>
    <row r="54" spans="1:7">
      <c r="A54" s="785"/>
      <c r="B54" s="781" t="s">
        <v>334</v>
      </c>
      <c r="C54" s="781"/>
      <c r="D54" s="781"/>
      <c r="E54" s="781"/>
      <c r="F54" s="781"/>
      <c r="G54" s="786"/>
    </row>
    <row r="55" spans="1:7">
      <c r="A55" s="785"/>
      <c r="B55" s="840"/>
      <c r="C55" s="781"/>
      <c r="D55" s="781"/>
      <c r="E55" s="781"/>
      <c r="F55" s="781"/>
      <c r="G55" s="786"/>
    </row>
    <row r="56" spans="1:7">
      <c r="A56" s="785"/>
      <c r="B56" s="840"/>
      <c r="C56" s="781"/>
      <c r="D56" s="781"/>
      <c r="E56" s="781"/>
      <c r="F56" s="781"/>
      <c r="G56" s="786"/>
    </row>
    <row r="57" spans="1:7">
      <c r="A57" s="785"/>
      <c r="B57" s="840"/>
      <c r="C57" s="781"/>
      <c r="D57" s="781"/>
      <c r="E57" s="781"/>
      <c r="F57" s="781"/>
      <c r="G57" s="786"/>
    </row>
    <row r="58" spans="1:7">
      <c r="A58" s="785"/>
      <c r="B58" s="840"/>
      <c r="C58" s="781"/>
      <c r="D58" s="781"/>
      <c r="E58" s="781"/>
      <c r="F58" s="781"/>
      <c r="G58" s="786"/>
    </row>
    <row r="59" spans="1:7">
      <c r="A59" s="785"/>
      <c r="B59" s="840"/>
      <c r="C59" s="781"/>
      <c r="D59" s="781"/>
      <c r="E59" s="781"/>
      <c r="F59" s="781"/>
      <c r="G59" s="786"/>
    </row>
    <row r="60" spans="1:7" ht="16.5" thickBot="1">
      <c r="A60" s="787"/>
      <c r="B60" s="841"/>
      <c r="C60" s="788"/>
      <c r="D60" s="788"/>
      <c r="E60" s="788"/>
      <c r="F60" s="788"/>
      <c r="G60" s="789"/>
    </row>
    <row r="61" spans="1:7" ht="16.5" thickBot="1">
      <c r="A61" s="675"/>
      <c r="B61" s="676" t="s">
        <v>752</v>
      </c>
    </row>
    <row r="62" spans="1:7">
      <c r="A62" s="782"/>
      <c r="B62" s="783" t="s">
        <v>753</v>
      </c>
      <c r="C62" s="783"/>
      <c r="D62" s="783"/>
      <c r="E62" s="783"/>
      <c r="F62" s="783"/>
      <c r="G62" s="784"/>
    </row>
    <row r="63" spans="1:7">
      <c r="A63" s="785"/>
      <c r="B63" s="781" t="s">
        <v>754</v>
      </c>
      <c r="C63" s="781"/>
      <c r="D63" s="781"/>
      <c r="E63" s="781"/>
      <c r="F63" s="781"/>
      <c r="G63" s="786"/>
    </row>
    <row r="64" spans="1:7">
      <c r="A64" s="785"/>
      <c r="B64" s="781" t="s">
        <v>755</v>
      </c>
      <c r="C64" s="781"/>
      <c r="D64" s="781"/>
      <c r="E64" s="781"/>
      <c r="F64" s="781"/>
      <c r="G64" s="786"/>
    </row>
    <row r="65" spans="1:7">
      <c r="A65" s="785"/>
      <c r="B65" s="840"/>
      <c r="C65" s="781"/>
      <c r="D65" s="781"/>
      <c r="E65" s="781"/>
      <c r="F65" s="781"/>
      <c r="G65" s="786"/>
    </row>
    <row r="66" spans="1:7">
      <c r="A66" s="785"/>
      <c r="B66" s="840"/>
      <c r="C66" s="1035"/>
      <c r="D66" s="781"/>
      <c r="E66" s="781"/>
      <c r="F66" s="781"/>
      <c r="G66" s="786"/>
    </row>
    <row r="67" spans="1:7">
      <c r="A67" s="785"/>
      <c r="B67" s="840"/>
      <c r="C67" s="1036"/>
      <c r="D67" s="781"/>
      <c r="E67" s="781"/>
      <c r="F67" s="781"/>
      <c r="G67" s="786"/>
    </row>
    <row r="68" spans="1:7">
      <c r="A68" s="785"/>
      <c r="B68" s="840"/>
      <c r="C68" s="1037"/>
      <c r="D68" s="781"/>
      <c r="E68" s="781"/>
      <c r="F68" s="781"/>
      <c r="G68" s="786"/>
    </row>
    <row r="69" spans="1:7">
      <c r="A69" s="785"/>
      <c r="B69" s="840"/>
      <c r="C69" s="1036"/>
      <c r="D69" s="781"/>
      <c r="E69" s="781"/>
      <c r="F69" s="781"/>
      <c r="G69" s="786"/>
    </row>
    <row r="70" spans="1:7">
      <c r="A70" s="785"/>
      <c r="B70" s="840"/>
      <c r="C70" s="1036"/>
      <c r="D70" s="781"/>
      <c r="E70" s="781"/>
      <c r="F70" s="781"/>
      <c r="G70" s="786"/>
    </row>
    <row r="71" spans="1:7">
      <c r="A71" s="785"/>
      <c r="B71" s="840"/>
      <c r="C71" s="1036"/>
      <c r="D71" s="781"/>
      <c r="E71" s="781"/>
      <c r="F71" s="781"/>
      <c r="G71" s="786"/>
    </row>
    <row r="72" spans="1:7" ht="16.5" thickBot="1">
      <c r="A72" s="787"/>
      <c r="B72" s="841"/>
      <c r="C72" s="788"/>
      <c r="D72" s="788"/>
      <c r="E72" s="788"/>
      <c r="F72" s="788"/>
      <c r="G72" s="789"/>
    </row>
    <row r="73" spans="1:7" ht="16.5" thickBot="1">
      <c r="A73" s="675"/>
      <c r="B73" s="676" t="s">
        <v>1320</v>
      </c>
    </row>
    <row r="74" spans="1:7">
      <c r="A74" s="1024"/>
      <c r="B74" s="1025" t="s">
        <v>1411</v>
      </c>
      <c r="C74" s="1025"/>
      <c r="D74" s="1025"/>
      <c r="E74" s="1025"/>
      <c r="F74" s="1025"/>
      <c r="G74" s="1026"/>
    </row>
    <row r="75" spans="1:7">
      <c r="A75" s="1027"/>
      <c r="B75" s="294" t="s">
        <v>108</v>
      </c>
      <c r="C75" s="927"/>
      <c r="D75" s="927"/>
      <c r="E75" s="927"/>
      <c r="F75" s="927"/>
      <c r="G75" s="1028"/>
    </row>
    <row r="76" spans="1:7">
      <c r="A76" s="1027"/>
      <c r="B76" s="927" t="s">
        <v>109</v>
      </c>
      <c r="C76" s="927"/>
      <c r="D76" s="927"/>
      <c r="E76" s="927"/>
      <c r="F76" s="927"/>
      <c r="G76" s="1028"/>
    </row>
    <row r="77" spans="1:7">
      <c r="A77" s="1027"/>
      <c r="B77" s="927" t="s">
        <v>1321</v>
      </c>
      <c r="C77" s="927"/>
      <c r="D77" s="927"/>
      <c r="E77" s="927"/>
      <c r="F77" s="927"/>
      <c r="G77" s="1028"/>
    </row>
    <row r="78" spans="1:7">
      <c r="A78" s="1027"/>
      <c r="B78" s="927" t="s">
        <v>1322</v>
      </c>
      <c r="C78" s="927"/>
      <c r="D78" s="927"/>
      <c r="E78" s="927"/>
      <c r="F78" s="927"/>
      <c r="G78" s="1028"/>
    </row>
    <row r="79" spans="1:7">
      <c r="A79" s="1027"/>
      <c r="B79" s="927" t="s">
        <v>1323</v>
      </c>
      <c r="C79" s="927"/>
      <c r="D79" s="927"/>
      <c r="E79" s="927"/>
      <c r="F79" s="927"/>
      <c r="G79" s="1028"/>
    </row>
    <row r="80" spans="1:7">
      <c r="A80" s="1027"/>
      <c r="B80" s="927" t="s">
        <v>1324</v>
      </c>
      <c r="C80" s="927"/>
      <c r="D80" s="927"/>
      <c r="E80" s="927"/>
      <c r="F80" s="927"/>
      <c r="G80" s="1028"/>
    </row>
    <row r="81" spans="1:7">
      <c r="A81" s="1027"/>
      <c r="B81" s="294" t="s">
        <v>1325</v>
      </c>
      <c r="C81" s="927"/>
      <c r="D81" s="927"/>
      <c r="E81" s="927"/>
      <c r="F81" s="927"/>
      <c r="G81" s="1028"/>
    </row>
    <row r="82" spans="1:7">
      <c r="A82" s="1027"/>
      <c r="B82" s="927"/>
      <c r="C82" s="927"/>
      <c r="D82" s="927"/>
      <c r="E82" s="927"/>
      <c r="F82" s="927"/>
      <c r="G82" s="1028"/>
    </row>
    <row r="83" spans="1:7">
      <c r="A83" s="1027"/>
      <c r="B83" s="927"/>
      <c r="C83" s="927"/>
      <c r="D83" s="927"/>
      <c r="E83" s="927"/>
      <c r="F83" s="927"/>
      <c r="G83" s="1028"/>
    </row>
    <row r="84" spans="1:7" ht="16.5" thickBot="1">
      <c r="A84" s="1029"/>
      <c r="B84" s="1030"/>
      <c r="C84" s="1030"/>
      <c r="D84" s="1030"/>
      <c r="E84" s="1030"/>
      <c r="F84" s="1030"/>
      <c r="G84" s="1031"/>
    </row>
  </sheetData>
  <sheetProtection password="D405" objects="1" scenarios="1"/>
  <phoneticPr fontId="140" type="noConversion"/>
  <pageMargins left="0.75" right="0.75" top="0.88" bottom="0.51" header="0.28000000000000003" footer="0.21"/>
  <pageSetup fitToHeight="2" orientation="portrait" blackAndWhite="1" horizontalDpi="300" verticalDpi="300" r:id="rId1"/>
  <headerFooter alignWithMargins="0">
    <oddHeader>&amp;C&amp;"Times New Roman,Bold"&amp;14LISTS: ONESTOP APPLICATION</oddHeader>
  </headerFooter>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68"/>
  <sheetViews>
    <sheetView workbookViewId="0"/>
  </sheetViews>
  <sheetFormatPr defaultRowHeight="11.25"/>
  <cols>
    <col min="1" max="1" width="38.83203125" style="1136" customWidth="1"/>
    <col min="2" max="2" width="26.6640625" style="873" customWidth="1"/>
    <col min="3" max="3" width="31.33203125" style="875" customWidth="1"/>
  </cols>
  <sheetData>
    <row r="1" spans="1:3" ht="19.5" customHeight="1">
      <c r="A1" s="1182" t="s">
        <v>1545</v>
      </c>
      <c r="B1" s="1171"/>
    </row>
    <row r="2" spans="1:3" ht="13.5" customHeight="1">
      <c r="A2" s="1135"/>
      <c r="B2" s="1168"/>
      <c r="C2" s="1162"/>
    </row>
    <row r="3" spans="1:3" ht="15" customHeight="1">
      <c r="A3" s="1163" t="s">
        <v>180</v>
      </c>
      <c r="B3" s="1169">
        <v>74900</v>
      </c>
      <c r="C3" s="1164" t="s">
        <v>213</v>
      </c>
    </row>
    <row r="4" spans="1:3" ht="15" customHeight="1">
      <c r="A4" s="1163"/>
      <c r="B4" s="1169"/>
      <c r="C4" s="1164"/>
    </row>
    <row r="5" spans="1:3" ht="15" customHeight="1">
      <c r="A5" s="1163" t="s">
        <v>396</v>
      </c>
      <c r="B5" s="1169">
        <v>64200</v>
      </c>
      <c r="C5" s="1164" t="s">
        <v>218</v>
      </c>
    </row>
    <row r="6" spans="1:3" ht="15.75" customHeight="1">
      <c r="A6" s="1163" t="s">
        <v>400</v>
      </c>
      <c r="B6" s="1169">
        <v>71800</v>
      </c>
      <c r="C6" s="1164" t="s">
        <v>218</v>
      </c>
    </row>
    <row r="7" spans="1:3" ht="15" customHeight="1">
      <c r="A7" s="1163"/>
      <c r="B7" s="1169"/>
      <c r="C7" s="1164"/>
    </row>
    <row r="8" spans="1:3" ht="15" customHeight="1">
      <c r="A8" s="1163" t="s">
        <v>395</v>
      </c>
      <c r="B8" s="1169">
        <v>59600</v>
      </c>
      <c r="C8" s="1164" t="s">
        <v>214</v>
      </c>
    </row>
    <row r="9" spans="1:3" ht="15" customHeight="1">
      <c r="A9" s="1163" t="s">
        <v>1372</v>
      </c>
      <c r="B9" s="1169">
        <v>107800</v>
      </c>
      <c r="C9" s="1164" t="s">
        <v>214</v>
      </c>
    </row>
    <row r="10" spans="1:3" ht="15" customHeight="1">
      <c r="A10" s="1163" t="s">
        <v>1373</v>
      </c>
      <c r="B10" s="1169">
        <v>82900</v>
      </c>
      <c r="C10" s="1164" t="s">
        <v>214</v>
      </c>
    </row>
    <row r="11" spans="1:3" ht="15" customHeight="1">
      <c r="A11" s="1163" t="s">
        <v>1376</v>
      </c>
      <c r="B11" s="1169">
        <v>72200</v>
      </c>
      <c r="C11" s="1164" t="s">
        <v>214</v>
      </c>
    </row>
    <row r="12" spans="1:3" ht="15" customHeight="1">
      <c r="A12" s="1163"/>
      <c r="B12" s="1169"/>
      <c r="C12" s="1164"/>
    </row>
    <row r="13" spans="1:3" ht="15.75" customHeight="1">
      <c r="A13" s="1163" t="s">
        <v>400</v>
      </c>
      <c r="B13" s="1169">
        <v>86000</v>
      </c>
      <c r="C13" s="1164" t="s">
        <v>220</v>
      </c>
    </row>
    <row r="14" spans="1:3" ht="15" customHeight="1">
      <c r="A14" s="1163"/>
      <c r="B14" s="1169"/>
      <c r="C14" s="1164"/>
    </row>
    <row r="15" spans="1:3" ht="15.75" customHeight="1">
      <c r="A15" s="1163" t="s">
        <v>1371</v>
      </c>
      <c r="B15" s="1169">
        <v>94100</v>
      </c>
      <c r="C15" s="1164" t="s">
        <v>216</v>
      </c>
    </row>
    <row r="16" spans="1:3" ht="15" customHeight="1">
      <c r="A16" s="1163" t="s">
        <v>394</v>
      </c>
      <c r="B16" s="1169">
        <v>82800</v>
      </c>
      <c r="C16" s="1164" t="s">
        <v>216</v>
      </c>
    </row>
    <row r="17" spans="1:3" ht="15" customHeight="1">
      <c r="A17" s="1163"/>
      <c r="B17" s="1169"/>
      <c r="C17" s="1164"/>
    </row>
    <row r="18" spans="1:3" ht="15.75" customHeight="1">
      <c r="A18" s="1163" t="s">
        <v>397</v>
      </c>
      <c r="B18" s="1169">
        <v>65700</v>
      </c>
      <c r="C18" s="1164" t="s">
        <v>221</v>
      </c>
    </row>
    <row r="19" spans="1:3" ht="15" customHeight="1">
      <c r="A19" s="1163" t="s">
        <v>400</v>
      </c>
      <c r="B19" s="1169">
        <v>65000</v>
      </c>
      <c r="C19" s="1164" t="s">
        <v>221</v>
      </c>
    </row>
    <row r="20" spans="1:3" ht="15" customHeight="1">
      <c r="A20" s="1163"/>
      <c r="B20" s="1169"/>
      <c r="C20" s="1164"/>
    </row>
    <row r="21" spans="1:3" ht="15.75" customHeight="1">
      <c r="A21" s="1163" t="s">
        <v>397</v>
      </c>
      <c r="B21" s="1169">
        <v>65700</v>
      </c>
      <c r="C21" s="1164" t="s">
        <v>222</v>
      </c>
    </row>
    <row r="22" spans="1:3" ht="15" customHeight="1">
      <c r="A22" s="1163"/>
      <c r="B22" s="1169"/>
      <c r="C22" s="1164"/>
    </row>
    <row r="23" spans="1:3" ht="15" customHeight="1">
      <c r="A23" s="1163" t="s">
        <v>397</v>
      </c>
      <c r="B23" s="1169">
        <v>65700</v>
      </c>
      <c r="C23" s="1164" t="s">
        <v>219</v>
      </c>
    </row>
    <row r="24" spans="1:3" ht="15" customHeight="1">
      <c r="A24" s="1163"/>
      <c r="B24" s="1169"/>
      <c r="C24" s="1164"/>
    </row>
    <row r="25" spans="1:3" ht="15" customHeight="1">
      <c r="A25" s="1163" t="s">
        <v>1371</v>
      </c>
      <c r="B25" s="1169">
        <v>94100</v>
      </c>
      <c r="C25" s="1164" t="s">
        <v>217</v>
      </c>
    </row>
    <row r="26" spans="1:3" ht="15.75" customHeight="1">
      <c r="A26" s="1163" t="s">
        <v>182</v>
      </c>
      <c r="B26" s="1169">
        <v>90700</v>
      </c>
      <c r="C26" s="1164" t="s">
        <v>217</v>
      </c>
    </row>
    <row r="27" spans="1:3" ht="15" customHeight="1">
      <c r="A27" s="1163"/>
      <c r="B27" s="1169"/>
      <c r="C27" s="1164"/>
    </row>
    <row r="28" spans="1:3" ht="15" customHeight="1">
      <c r="A28" s="1163" t="s">
        <v>400</v>
      </c>
      <c r="B28" s="1169">
        <v>92800</v>
      </c>
      <c r="C28" s="1164" t="s">
        <v>223</v>
      </c>
    </row>
    <row r="29" spans="1:3" ht="15" customHeight="1">
      <c r="A29" s="1163"/>
      <c r="B29" s="1169"/>
      <c r="C29" s="1164"/>
    </row>
    <row r="30" spans="1:3" ht="15.75" customHeight="1">
      <c r="A30" s="1163" t="s">
        <v>1371</v>
      </c>
      <c r="B30" s="1169">
        <v>94100</v>
      </c>
      <c r="C30" s="1164" t="s">
        <v>389</v>
      </c>
    </row>
    <row r="31" spans="1:3" ht="15" customHeight="1">
      <c r="A31" s="1163" t="s">
        <v>392</v>
      </c>
      <c r="B31" s="1169">
        <v>80700</v>
      </c>
      <c r="C31" s="1164" t="s">
        <v>389</v>
      </c>
    </row>
    <row r="32" spans="1:3" ht="15.75" customHeight="1">
      <c r="A32" s="1163"/>
      <c r="B32" s="1169"/>
      <c r="C32" s="1164"/>
    </row>
    <row r="33" spans="1:3" ht="15" customHeight="1">
      <c r="A33" s="1163" t="s">
        <v>1371</v>
      </c>
      <c r="B33" s="1169">
        <v>94100</v>
      </c>
      <c r="C33" s="1164" t="s">
        <v>390</v>
      </c>
    </row>
    <row r="34" spans="1:3" ht="15" customHeight="1">
      <c r="A34" s="1163" t="s">
        <v>392</v>
      </c>
      <c r="B34" s="1169">
        <v>80700</v>
      </c>
      <c r="C34" s="1164" t="s">
        <v>390</v>
      </c>
    </row>
    <row r="35" spans="1:3" ht="15.75" customHeight="1">
      <c r="A35" s="1163"/>
      <c r="B35" s="1169"/>
      <c r="C35" s="1164"/>
    </row>
    <row r="36" spans="1:3" ht="15" customHeight="1">
      <c r="A36" s="1163" t="s">
        <v>1371</v>
      </c>
      <c r="B36" s="1169">
        <v>94100</v>
      </c>
      <c r="C36" s="1164" t="s">
        <v>391</v>
      </c>
    </row>
    <row r="37" spans="1:3" ht="15" customHeight="1">
      <c r="A37" s="1163"/>
      <c r="B37" s="1169"/>
      <c r="C37" s="1164"/>
    </row>
    <row r="38" spans="1:3" ht="15" customHeight="1">
      <c r="A38" s="1163" t="s">
        <v>393</v>
      </c>
      <c r="B38" s="1169">
        <v>67900</v>
      </c>
      <c r="C38" s="1164" t="s">
        <v>215</v>
      </c>
    </row>
    <row r="39" spans="1:3" ht="15.75" customHeight="1">
      <c r="A39" s="1163" t="s">
        <v>1374</v>
      </c>
      <c r="B39" s="1169">
        <v>96300</v>
      </c>
      <c r="C39" s="1164" t="s">
        <v>215</v>
      </c>
    </row>
    <row r="40" spans="1:3" ht="15" customHeight="1">
      <c r="A40" s="1163" t="s">
        <v>1375</v>
      </c>
      <c r="B40" s="1169">
        <v>75300</v>
      </c>
      <c r="C40" s="1164" t="s">
        <v>215</v>
      </c>
    </row>
    <row r="41" spans="1:3" ht="15.75" customHeight="1">
      <c r="A41" s="1163" t="s">
        <v>181</v>
      </c>
      <c r="B41" s="1169">
        <v>79600</v>
      </c>
      <c r="C41" s="1164" t="s">
        <v>215</v>
      </c>
    </row>
    <row r="42" spans="1:3" ht="14.25" customHeight="1">
      <c r="A42" s="1163"/>
      <c r="B42" s="1169"/>
      <c r="C42" s="1164"/>
    </row>
    <row r="43" spans="1:3" ht="13.5" customHeight="1">
      <c r="A43" s="1163"/>
      <c r="B43" s="1169"/>
      <c r="C43" s="1164"/>
    </row>
    <row r="44" spans="1:3" ht="15" customHeight="1">
      <c r="A44" s="1163"/>
      <c r="B44" s="1174"/>
      <c r="C44" s="1164"/>
    </row>
    <row r="45" spans="1:3" ht="15" customHeight="1">
      <c r="A45" s="1163"/>
      <c r="B45" s="1174"/>
      <c r="C45" s="1164"/>
    </row>
    <row r="46" spans="1:3" ht="15" customHeight="1">
      <c r="A46" s="1163"/>
      <c r="B46" s="1169"/>
      <c r="C46" s="1164"/>
    </row>
    <row r="47" spans="1:3" ht="15" customHeight="1">
      <c r="A47" s="1163"/>
      <c r="B47" s="1169"/>
      <c r="C47" s="1164"/>
    </row>
    <row r="48" spans="1:3" ht="15.75" customHeight="1">
      <c r="A48" s="1135"/>
      <c r="B48" s="1168"/>
      <c r="C48" s="1162"/>
    </row>
    <row r="49" spans="1:3" ht="12.75" customHeight="1">
      <c r="A49" s="1165"/>
      <c r="B49" s="1170"/>
      <c r="C49" s="1162"/>
    </row>
    <row r="50" spans="1:3" ht="12.75" customHeight="1">
      <c r="A50" s="1166"/>
      <c r="B50" s="1170"/>
      <c r="C50" s="1167"/>
    </row>
    <row r="51" spans="1:3" ht="12.75" customHeight="1">
      <c r="A51" s="1166"/>
      <c r="B51" s="1170"/>
      <c r="C51" s="1167"/>
    </row>
    <row r="52" spans="1:3" ht="12.75" customHeight="1">
      <c r="A52" s="1172"/>
      <c r="B52" s="1169"/>
      <c r="C52" s="1173"/>
    </row>
    <row r="53" spans="1:3" ht="14.25">
      <c r="A53" s="1163"/>
      <c r="B53" s="1169"/>
      <c r="C53" s="1164"/>
    </row>
    <row r="54" spans="1:3" ht="14.25">
      <c r="A54" s="1163"/>
      <c r="B54" s="1169"/>
      <c r="C54" s="1164"/>
    </row>
    <row r="55" spans="1:3" ht="14.25">
      <c r="A55" s="1163"/>
      <c r="B55" s="1169"/>
      <c r="C55" s="1164"/>
    </row>
    <row r="56" spans="1:3" ht="14.25">
      <c r="A56" s="1163"/>
      <c r="B56" s="1169"/>
      <c r="C56" s="1164"/>
    </row>
    <row r="57" spans="1:3" ht="14.25">
      <c r="A57" s="1163"/>
      <c r="B57" s="1169"/>
      <c r="C57" s="1164"/>
    </row>
    <row r="58" spans="1:3" ht="14.25">
      <c r="A58" s="1163"/>
      <c r="B58" s="1169"/>
      <c r="C58" s="1164"/>
    </row>
    <row r="59" spans="1:3" ht="14.25">
      <c r="A59" s="1163"/>
      <c r="B59" s="1169"/>
      <c r="C59" s="1164"/>
    </row>
    <row r="60" spans="1:3" ht="14.25">
      <c r="A60" s="1163"/>
      <c r="B60" s="1169"/>
      <c r="C60" s="1164"/>
    </row>
    <row r="61" spans="1:3" ht="14.25">
      <c r="A61" s="1163"/>
      <c r="B61" s="1169"/>
      <c r="C61" s="1164"/>
    </row>
    <row r="62" spans="1:3" ht="14.25">
      <c r="A62" s="1163"/>
      <c r="B62" s="1169"/>
      <c r="C62" s="1164"/>
    </row>
    <row r="63" spans="1:3" ht="14.25">
      <c r="A63" s="1163"/>
      <c r="B63" s="1169"/>
      <c r="C63" s="1164"/>
    </row>
    <row r="64" spans="1:3" ht="14.25">
      <c r="A64" s="1163"/>
      <c r="B64" s="1169"/>
      <c r="C64" s="1164"/>
    </row>
    <row r="65" spans="1:3" ht="14.25">
      <c r="A65" s="1163"/>
      <c r="B65" s="1169"/>
      <c r="C65" s="1164"/>
    </row>
    <row r="66" spans="1:3" ht="14.25">
      <c r="A66" s="1163"/>
      <c r="B66" s="1169"/>
      <c r="C66" s="1164"/>
    </row>
    <row r="67" spans="1:3" ht="14.25">
      <c r="A67" s="1163"/>
      <c r="B67" s="1169"/>
      <c r="C67" s="1164"/>
    </row>
    <row r="68" spans="1:3" ht="14.25">
      <c r="A68" s="1163"/>
      <c r="B68" s="1169"/>
      <c r="C68" s="1164"/>
    </row>
  </sheetData>
  <sheetProtection password="D405" sheet="1" objects="1" scenarios="1"/>
  <phoneticPr fontId="140" type="noConversion"/>
  <pageMargins left="0.75" right="0.75" top="0.5" bottom="0.5" header="0.25" footer="0.25"/>
  <pageSetup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E25"/>
  <sheetViews>
    <sheetView workbookViewId="0"/>
  </sheetViews>
  <sheetFormatPr defaultRowHeight="11.25"/>
  <cols>
    <col min="1" max="1" width="32.33203125" style="1176" customWidth="1"/>
    <col min="2" max="6" width="9.6640625" style="1176" customWidth="1"/>
    <col min="7" max="7" width="9.5" style="1176" customWidth="1"/>
    <col min="8" max="8" width="17.83203125" style="1176" customWidth="1"/>
    <col min="9" max="12" width="13.1640625" style="1176" customWidth="1"/>
    <col min="13" max="14" width="10.6640625" style="1176" customWidth="1"/>
    <col min="15" max="16384" width="9.33203125" style="1176"/>
  </cols>
  <sheetData>
    <row r="1" spans="1:31" ht="19.5" customHeight="1">
      <c r="A1" s="1175" t="s">
        <v>1498</v>
      </c>
      <c r="B1" s="1175"/>
      <c r="C1" s="1175"/>
      <c r="D1" s="1175"/>
      <c r="E1" s="53"/>
      <c r="F1" s="53"/>
      <c r="G1" s="53"/>
      <c r="H1" s="1175" t="s">
        <v>1391</v>
      </c>
      <c r="I1" s="1175"/>
      <c r="J1" s="1175"/>
      <c r="K1" s="1175"/>
      <c r="L1" s="1175"/>
      <c r="M1" s="54"/>
      <c r="N1"/>
    </row>
    <row r="2" spans="1:31" ht="19.5" customHeight="1">
      <c r="A2" s="1175"/>
      <c r="B2" s="53"/>
      <c r="C2" s="53"/>
      <c r="D2" s="53"/>
      <c r="E2" s="53"/>
      <c r="F2" s="53"/>
      <c r="G2" s="53"/>
      <c r="H2" s="1175"/>
      <c r="I2" s="53"/>
      <c r="J2" s="54"/>
      <c r="K2" s="54"/>
      <c r="L2" s="54"/>
      <c r="M2" s="54"/>
      <c r="N2"/>
    </row>
    <row r="3" spans="1:31" ht="12.75" customHeight="1">
      <c r="A3" s="1177" t="s">
        <v>1159</v>
      </c>
      <c r="B3" s="1177" t="s">
        <v>1160</v>
      </c>
      <c r="C3" s="1177" t="s">
        <v>1161</v>
      </c>
      <c r="D3" s="1177" t="s">
        <v>1162</v>
      </c>
      <c r="E3" s="1177" t="s">
        <v>1163</v>
      </c>
      <c r="F3" s="1177" t="s">
        <v>1164</v>
      </c>
      <c r="G3" s="53"/>
      <c r="H3" s="1177" t="s">
        <v>1159</v>
      </c>
      <c r="I3" s="1178" t="s">
        <v>1160</v>
      </c>
      <c r="J3" s="1178" t="s">
        <v>1161</v>
      </c>
      <c r="K3" s="1178" t="s">
        <v>1162</v>
      </c>
      <c r="L3" s="1178" t="s">
        <v>1163</v>
      </c>
      <c r="M3" s="1178" t="s">
        <v>1164</v>
      </c>
      <c r="N3"/>
    </row>
    <row r="4" spans="1:31" ht="12.75" customHeight="1">
      <c r="A4" s="54" t="s">
        <v>180</v>
      </c>
      <c r="B4" s="59">
        <v>825</v>
      </c>
      <c r="C4" s="59">
        <v>920</v>
      </c>
      <c r="D4" s="59">
        <v>1234</v>
      </c>
      <c r="E4" s="59">
        <v>1614</v>
      </c>
      <c r="F4" s="59">
        <v>1695</v>
      </c>
      <c r="G4" s="53"/>
      <c r="H4" s="54" t="s">
        <v>1165</v>
      </c>
      <c r="I4" s="59">
        <v>675</v>
      </c>
      <c r="J4" s="59">
        <v>705</v>
      </c>
      <c r="K4" s="59">
        <v>836</v>
      </c>
      <c r="L4" s="59">
        <v>1059</v>
      </c>
      <c r="M4" s="59">
        <v>1291</v>
      </c>
      <c r="N4"/>
    </row>
    <row r="5" spans="1:31" ht="12.75" customHeight="1">
      <c r="A5" s="54" t="s">
        <v>1371</v>
      </c>
      <c r="B5" s="59">
        <v>1071</v>
      </c>
      <c r="C5" s="59">
        <v>1196</v>
      </c>
      <c r="D5" s="59">
        <v>1494</v>
      </c>
      <c r="E5" s="59">
        <v>1861</v>
      </c>
      <c r="F5" s="59">
        <v>2023</v>
      </c>
      <c r="G5" s="53"/>
      <c r="H5" s="54" t="s">
        <v>1166</v>
      </c>
      <c r="I5" s="59">
        <v>770</v>
      </c>
      <c r="J5" s="59">
        <v>957</v>
      </c>
      <c r="K5" s="59">
        <v>1295</v>
      </c>
      <c r="L5" s="59">
        <v>1682</v>
      </c>
      <c r="M5" s="59">
        <v>1731</v>
      </c>
      <c r="N5"/>
    </row>
    <row r="6" spans="1:31" ht="12.75" customHeight="1">
      <c r="A6" s="54" t="s">
        <v>392</v>
      </c>
      <c r="B6" s="59">
        <v>862</v>
      </c>
      <c r="C6" s="59">
        <v>867</v>
      </c>
      <c r="D6" s="59">
        <v>1133</v>
      </c>
      <c r="E6" s="59">
        <v>1446</v>
      </c>
      <c r="F6" s="59">
        <v>1531</v>
      </c>
      <c r="G6" s="53"/>
      <c r="H6" s="54" t="s">
        <v>1167</v>
      </c>
      <c r="I6" s="59">
        <v>678</v>
      </c>
      <c r="J6" s="59">
        <v>732</v>
      </c>
      <c r="K6" s="59">
        <v>927</v>
      </c>
      <c r="L6" s="59">
        <v>1199</v>
      </c>
      <c r="M6" s="59">
        <v>1461</v>
      </c>
      <c r="N6"/>
    </row>
    <row r="7" spans="1:31" ht="12.75" customHeight="1">
      <c r="A7" s="54" t="s">
        <v>393</v>
      </c>
      <c r="B7" s="59">
        <v>610</v>
      </c>
      <c r="C7" s="59">
        <v>828</v>
      </c>
      <c r="D7" s="59">
        <v>1025</v>
      </c>
      <c r="E7" s="59">
        <v>1277</v>
      </c>
      <c r="F7" s="59">
        <v>1518</v>
      </c>
      <c r="G7" s="53"/>
      <c r="H7" s="54" t="s">
        <v>1170</v>
      </c>
      <c r="I7" s="59">
        <v>935</v>
      </c>
      <c r="J7" s="59">
        <v>1161</v>
      </c>
      <c r="K7" s="59">
        <v>1571</v>
      </c>
      <c r="L7" s="59">
        <v>2205</v>
      </c>
      <c r="M7" s="59">
        <v>2213</v>
      </c>
      <c r="N7"/>
    </row>
    <row r="8" spans="1:31" ht="12.75" customHeight="1">
      <c r="A8" s="54" t="s">
        <v>394</v>
      </c>
      <c r="B8" s="59">
        <v>798</v>
      </c>
      <c r="C8" s="59">
        <v>910</v>
      </c>
      <c r="D8" s="59">
        <v>1168</v>
      </c>
      <c r="E8" s="59">
        <v>1455</v>
      </c>
      <c r="F8" s="59">
        <v>1561</v>
      </c>
      <c r="G8" s="53"/>
      <c r="H8" s="54"/>
      <c r="I8" s="59"/>
      <c r="J8" s="59"/>
      <c r="K8" s="59"/>
      <c r="L8" s="59"/>
      <c r="M8" s="59"/>
      <c r="N8"/>
    </row>
    <row r="9" spans="1:31" ht="12.75" customHeight="1">
      <c r="A9" s="54" t="s">
        <v>182</v>
      </c>
      <c r="B9" s="59">
        <v>750</v>
      </c>
      <c r="C9" s="59">
        <v>864</v>
      </c>
      <c r="D9" s="59">
        <v>1109</v>
      </c>
      <c r="E9" s="59">
        <v>1381</v>
      </c>
      <c r="F9" s="59">
        <v>1627</v>
      </c>
      <c r="G9" s="53"/>
      <c r="H9" s="54"/>
      <c r="I9" s="59"/>
      <c r="J9" s="59"/>
      <c r="K9" s="59"/>
      <c r="L9" s="59"/>
      <c r="M9" s="59"/>
      <c r="N9"/>
    </row>
    <row r="10" spans="1:31" ht="12.75" customHeight="1">
      <c r="A10" s="54" t="s">
        <v>395</v>
      </c>
      <c r="B10" s="59">
        <v>673</v>
      </c>
      <c r="C10" s="59">
        <v>712</v>
      </c>
      <c r="D10" s="59">
        <v>844</v>
      </c>
      <c r="E10" s="59">
        <v>1051</v>
      </c>
      <c r="F10" s="59">
        <v>1128</v>
      </c>
      <c r="G10" s="53"/>
      <c r="H10" s="54"/>
      <c r="I10" s="59"/>
      <c r="J10" s="59"/>
      <c r="K10" s="59"/>
      <c r="L10" s="59"/>
      <c r="M10" s="59"/>
      <c r="N10"/>
    </row>
    <row r="11" spans="1:31" ht="12.75" customHeight="1">
      <c r="A11" s="54" t="s">
        <v>396</v>
      </c>
      <c r="B11" s="59">
        <v>550</v>
      </c>
      <c r="C11" s="59">
        <v>708</v>
      </c>
      <c r="D11" s="59">
        <v>839</v>
      </c>
      <c r="E11" s="59">
        <v>1045</v>
      </c>
      <c r="F11" s="59">
        <v>1178</v>
      </c>
      <c r="G11" s="53"/>
      <c r="H11" s="54"/>
      <c r="I11" s="59"/>
      <c r="J11" s="59"/>
      <c r="K11" s="59"/>
      <c r="L11" s="59"/>
      <c r="M11" s="59"/>
      <c r="N11"/>
    </row>
    <row r="12" spans="1:31" ht="12.75" customHeight="1">
      <c r="A12" s="54" t="s">
        <v>1376</v>
      </c>
      <c r="B12" s="59">
        <v>686</v>
      </c>
      <c r="C12" s="59">
        <v>773</v>
      </c>
      <c r="D12" s="59">
        <v>944</v>
      </c>
      <c r="E12" s="59">
        <v>1176</v>
      </c>
      <c r="F12" s="59">
        <v>1407</v>
      </c>
      <c r="G12" s="53"/>
      <c r="H12" s="53"/>
      <c r="I12" s="54"/>
      <c r="J12" s="54"/>
      <c r="K12" s="54"/>
      <c r="L12" s="54"/>
      <c r="M12" s="54"/>
      <c r="N12"/>
    </row>
    <row r="13" spans="1:31" ht="12.75" customHeight="1">
      <c r="A13" s="54" t="s">
        <v>1372</v>
      </c>
      <c r="B13" s="59">
        <v>922</v>
      </c>
      <c r="C13" s="59">
        <v>1016</v>
      </c>
      <c r="D13" s="59">
        <v>1286</v>
      </c>
      <c r="E13" s="59">
        <v>1833</v>
      </c>
      <c r="F13" s="59">
        <v>1839</v>
      </c>
      <c r="G13" s="53"/>
      <c r="H13" s="53"/>
      <c r="I13" s="54"/>
      <c r="J13" s="54"/>
      <c r="K13" s="54"/>
      <c r="L13" s="54"/>
      <c r="M13" s="54"/>
      <c r="N13"/>
    </row>
    <row r="14" spans="1:31" ht="12.75" customHeight="1">
      <c r="A14" s="53" t="s">
        <v>1373</v>
      </c>
      <c r="B14" s="59">
        <v>760</v>
      </c>
      <c r="C14" s="59">
        <v>802</v>
      </c>
      <c r="D14" s="59">
        <v>1043</v>
      </c>
      <c r="E14" s="59">
        <v>1299</v>
      </c>
      <c r="F14" s="59">
        <v>1394</v>
      </c>
      <c r="G14" s="53"/>
      <c r="H14" s="53"/>
      <c r="I14" s="54"/>
      <c r="J14" s="54"/>
      <c r="K14" s="54"/>
      <c r="L14" s="54"/>
      <c r="M14" s="54"/>
      <c r="N14"/>
    </row>
    <row r="15" spans="1:31" ht="12.75" customHeight="1">
      <c r="A15" s="53" t="s">
        <v>397</v>
      </c>
      <c r="B15" s="59">
        <v>616</v>
      </c>
      <c r="C15" s="59">
        <v>739</v>
      </c>
      <c r="D15" s="59">
        <v>924</v>
      </c>
      <c r="E15" s="59">
        <v>1154</v>
      </c>
      <c r="F15" s="59">
        <v>1314</v>
      </c>
      <c r="G15" s="1156"/>
      <c r="H15" s="1157"/>
      <c r="I15" s="1157"/>
      <c r="J15" s="1157"/>
      <c r="K15" s="1157"/>
      <c r="L15" s="1157"/>
      <c r="M15" s="1157"/>
      <c r="N15"/>
    </row>
    <row r="16" spans="1:31" ht="12.75" customHeight="1">
      <c r="A16" s="53" t="s">
        <v>181</v>
      </c>
      <c r="B16" s="59">
        <v>674</v>
      </c>
      <c r="C16" s="59">
        <v>823</v>
      </c>
      <c r="D16" s="59">
        <v>1036</v>
      </c>
      <c r="E16" s="59">
        <v>1290</v>
      </c>
      <c r="F16" s="59">
        <v>1411</v>
      </c>
      <c r="G16" s="1179"/>
      <c r="H16" s="1158"/>
      <c r="I16" s="1159"/>
      <c r="J16" s="1159"/>
      <c r="K16" s="1159"/>
      <c r="L16" s="1159"/>
      <c r="M16" s="1159"/>
      <c r="N16"/>
      <c r="O16" s="1180"/>
      <c r="P16" s="1180"/>
      <c r="Q16" s="1181"/>
      <c r="R16" s="1181"/>
      <c r="S16" s="1181"/>
      <c r="T16" s="1181"/>
      <c r="U16" s="1181"/>
      <c r="V16" s="1181"/>
      <c r="W16" s="1181"/>
      <c r="X16" s="1181"/>
      <c r="Y16" s="1181"/>
      <c r="Z16" s="1181"/>
      <c r="AA16" s="1181"/>
      <c r="AB16" s="1181"/>
      <c r="AC16" s="1181"/>
      <c r="AD16" s="1181"/>
      <c r="AE16" s="1181"/>
    </row>
    <row r="17" spans="1:31" ht="12.75" customHeight="1">
      <c r="A17" s="53" t="s">
        <v>1374</v>
      </c>
      <c r="B17" s="59">
        <v>700</v>
      </c>
      <c r="C17" s="59">
        <v>795</v>
      </c>
      <c r="D17" s="59">
        <v>1076</v>
      </c>
      <c r="E17" s="59">
        <v>1340</v>
      </c>
      <c r="F17" s="59">
        <v>1438</v>
      </c>
      <c r="G17" s="1179"/>
      <c r="H17" s="1158"/>
      <c r="I17" s="1159"/>
      <c r="J17" s="1159"/>
      <c r="K17" s="1159"/>
      <c r="L17" s="1159"/>
      <c r="M17" s="1159"/>
      <c r="N17"/>
      <c r="O17" s="1180"/>
      <c r="P17" s="1180"/>
      <c r="Q17" s="1181"/>
      <c r="R17" s="1181"/>
      <c r="S17" s="1181"/>
      <c r="T17" s="1181"/>
      <c r="U17" s="1181"/>
      <c r="V17" s="1181"/>
      <c r="W17" s="1181"/>
      <c r="X17" s="1181"/>
      <c r="Y17" s="1181"/>
      <c r="Z17" s="1181"/>
      <c r="AA17" s="1181"/>
      <c r="AB17" s="1181"/>
      <c r="AC17" s="1181"/>
      <c r="AD17" s="1181"/>
      <c r="AE17" s="1181"/>
    </row>
    <row r="18" spans="1:31" ht="12.75" customHeight="1">
      <c r="A18" s="53" t="s">
        <v>1375</v>
      </c>
      <c r="B18" s="59">
        <v>531</v>
      </c>
      <c r="C18" s="59">
        <v>688</v>
      </c>
      <c r="D18" s="59">
        <v>816</v>
      </c>
      <c r="E18" s="59">
        <v>1058</v>
      </c>
      <c r="F18" s="59">
        <v>1445</v>
      </c>
      <c r="G18" s="1179"/>
      <c r="H18" s="1179"/>
      <c r="I18" s="1179"/>
      <c r="J18" s="1179"/>
      <c r="K18" s="1179"/>
      <c r="L18" s="1179"/>
      <c r="M18" s="1179"/>
      <c r="N18"/>
      <c r="O18" s="1180"/>
      <c r="P18" s="1180"/>
      <c r="Q18" s="1181"/>
      <c r="R18" s="1181"/>
      <c r="S18" s="1181"/>
      <c r="T18" s="1181"/>
      <c r="U18" s="1181"/>
      <c r="V18" s="1181"/>
      <c r="W18" s="1181"/>
      <c r="X18" s="1181"/>
      <c r="Y18" s="1181"/>
      <c r="Z18" s="1181"/>
      <c r="AA18" s="1181"/>
      <c r="AB18" s="1181"/>
      <c r="AC18" s="1181"/>
      <c r="AD18" s="1181"/>
      <c r="AE18" s="1181"/>
    </row>
    <row r="19" spans="1:31" ht="12.75">
      <c r="A19" s="54"/>
      <c r="B19" s="59"/>
      <c r="C19" s="59"/>
      <c r="D19" s="59"/>
      <c r="E19" s="59"/>
      <c r="F19" s="59"/>
      <c r="G19" s="1156"/>
      <c r="H19" s="1157"/>
      <c r="I19" s="1160"/>
      <c r="J19" s="1160"/>
      <c r="K19" s="1160"/>
      <c r="L19" s="1160"/>
      <c r="M19" s="1160"/>
      <c r="N19"/>
      <c r="O19" s="1180"/>
      <c r="P19" s="1180"/>
      <c r="Q19" s="1181"/>
      <c r="R19" s="1181"/>
      <c r="S19" s="1181"/>
      <c r="T19" s="1181"/>
      <c r="U19" s="1181"/>
      <c r="V19" s="1181"/>
      <c r="W19" s="1181"/>
      <c r="X19" s="1181"/>
      <c r="Y19" s="1181"/>
      <c r="Z19" s="1181"/>
      <c r="AA19" s="1181"/>
      <c r="AB19" s="1181"/>
      <c r="AC19" s="1181"/>
      <c r="AD19" s="1181"/>
      <c r="AE19" s="1181"/>
    </row>
    <row r="20" spans="1:31" ht="12.75">
      <c r="A20" s="54" t="s">
        <v>1546</v>
      </c>
      <c r="B20" s="59"/>
      <c r="C20" s="59"/>
      <c r="D20" s="59"/>
      <c r="E20" s="59"/>
      <c r="F20" s="59"/>
      <c r="G20" s="53"/>
      <c r="H20" s="54"/>
      <c r="I20" s="59"/>
      <c r="J20" s="59"/>
      <c r="K20" s="59"/>
      <c r="L20" s="59"/>
      <c r="M20" s="59"/>
      <c r="N20"/>
    </row>
    <row r="21" spans="1:31" ht="12.75">
      <c r="A21" s="54"/>
      <c r="B21" s="1183"/>
      <c r="C21" s="59"/>
      <c r="D21" s="59"/>
      <c r="E21" s="59"/>
      <c r="F21" s="59"/>
      <c r="G21" s="53"/>
      <c r="H21" s="1161"/>
      <c r="I21" s="59"/>
      <c r="J21" s="59"/>
      <c r="K21" s="59"/>
      <c r="L21" s="59"/>
      <c r="M21" s="59"/>
      <c r="N21"/>
    </row>
    <row r="22" spans="1:31" ht="12.75">
      <c r="A22" s="54"/>
      <c r="B22" s="1183"/>
      <c r="C22" s="59"/>
      <c r="D22" s="59"/>
      <c r="E22" s="59"/>
      <c r="F22" s="59"/>
      <c r="G22" s="53"/>
      <c r="H22" s="1161"/>
      <c r="I22" s="59"/>
      <c r="J22" s="59"/>
      <c r="K22" s="59"/>
      <c r="L22" s="59"/>
      <c r="M22" s="59"/>
      <c r="N22"/>
    </row>
    <row r="23" spans="1:31" ht="12.75">
      <c r="A23" s="54"/>
      <c r="B23" s="59"/>
      <c r="C23" s="59"/>
      <c r="D23" s="59"/>
      <c r="E23" s="59"/>
      <c r="F23" s="59"/>
      <c r="G23" s="53"/>
      <c r="H23" s="54"/>
      <c r="I23" s="59"/>
      <c r="J23" s="59"/>
      <c r="K23" s="59"/>
      <c r="L23" s="59"/>
      <c r="M23" s="59"/>
      <c r="N23"/>
    </row>
    <row r="24" spans="1:31" ht="12.75">
      <c r="A24" s="54"/>
      <c r="B24" s="59"/>
      <c r="C24" s="59"/>
      <c r="D24" s="59"/>
      <c r="E24" s="59"/>
      <c r="F24" s="59"/>
      <c r="G24" s="53"/>
      <c r="H24" s="54"/>
      <c r="I24" s="59"/>
      <c r="J24" s="59"/>
      <c r="K24" s="59"/>
      <c r="L24" s="59"/>
      <c r="M24" s="59"/>
    </row>
    <row r="25" spans="1:31" ht="12.75">
      <c r="A25" s="54"/>
      <c r="B25" s="59"/>
      <c r="C25" s="59"/>
      <c r="D25" s="59"/>
      <c r="E25" s="59"/>
      <c r="F25" s="59"/>
      <c r="G25" s="53"/>
      <c r="H25" s="54"/>
      <c r="I25" s="59"/>
      <c r="J25" s="59"/>
      <c r="K25" s="59"/>
      <c r="L25" s="59"/>
      <c r="M25" s="59"/>
    </row>
  </sheetData>
  <sheetProtection password="D405" sheet="1" objects="1" scenarios="1"/>
  <phoneticPr fontId="140" type="noConversion"/>
  <printOptions horizontalCentered="1"/>
  <pageMargins left="0" right="0" top="0.5" bottom="0.5" header="0.25" footer="0.25"/>
  <pageSetup scale="99"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R1302"/>
  <sheetViews>
    <sheetView workbookViewId="0">
      <selection activeCell="C1" sqref="C1"/>
    </sheetView>
  </sheetViews>
  <sheetFormatPr defaultRowHeight="11.25"/>
  <cols>
    <col min="1" max="1" width="18.5" style="1" customWidth="1"/>
    <col min="2" max="2" width="5.6640625" style="57" customWidth="1"/>
    <col min="3" max="3" width="12.5" customWidth="1"/>
    <col min="4" max="4" width="10.6640625" customWidth="1"/>
    <col min="5" max="5" width="9" customWidth="1"/>
    <col min="6" max="6" width="13.6640625" customWidth="1"/>
    <col min="7" max="7" width="15.5" customWidth="1"/>
    <col min="8" max="8" width="10.1640625" customWidth="1"/>
    <col min="9" max="9" width="10.33203125" customWidth="1"/>
    <col min="10" max="10" width="11.6640625" customWidth="1"/>
    <col min="11" max="11" width="11.5" customWidth="1"/>
    <col min="12" max="12" width="11.83203125" customWidth="1"/>
    <col min="13" max="13" width="10" customWidth="1"/>
    <col min="14" max="14" width="11.33203125" customWidth="1"/>
    <col min="15" max="15" width="9.83203125" customWidth="1"/>
    <col min="16" max="16" width="12.33203125" customWidth="1"/>
  </cols>
  <sheetData>
    <row r="1" spans="1:16" ht="19.5" customHeight="1">
      <c r="C1" s="55"/>
      <c r="D1" t="s">
        <v>1547</v>
      </c>
    </row>
    <row r="2" spans="1:16" ht="13.5" customHeight="1">
      <c r="C2" s="55"/>
    </row>
    <row r="3" spans="1:16" ht="13.5" customHeight="1">
      <c r="A3" s="56" t="s">
        <v>435</v>
      </c>
      <c r="B3" s="58"/>
      <c r="C3" s="55" t="s">
        <v>12</v>
      </c>
      <c r="D3" t="s">
        <v>1165</v>
      </c>
      <c r="E3" t="s">
        <v>1081</v>
      </c>
      <c r="F3" t="s">
        <v>1166</v>
      </c>
      <c r="G3" t="s">
        <v>1082</v>
      </c>
      <c r="H3" t="s">
        <v>1167</v>
      </c>
      <c r="I3" t="s">
        <v>1168</v>
      </c>
      <c r="J3" t="s">
        <v>1169</v>
      </c>
      <c r="K3" t="s">
        <v>1083</v>
      </c>
      <c r="L3" t="s">
        <v>1170</v>
      </c>
      <c r="M3" t="s">
        <v>1427</v>
      </c>
      <c r="N3" t="s">
        <v>162</v>
      </c>
      <c r="O3" t="s">
        <v>161</v>
      </c>
      <c r="P3" t="s">
        <v>1171</v>
      </c>
    </row>
    <row r="4" spans="1:16" ht="12.75" customHeight="1">
      <c r="A4" s="711" t="str">
        <f>HLOOKUP(county,QCTMASTERLIST,B4)</f>
        <v>0004.01</v>
      </c>
      <c r="B4" s="58">
        <v>2</v>
      </c>
      <c r="C4" s="1184">
        <v>126.02</v>
      </c>
      <c r="D4" s="1184">
        <v>9001</v>
      </c>
      <c r="E4" s="1184">
        <v>6136</v>
      </c>
      <c r="F4" s="1184"/>
      <c r="G4" s="1184">
        <v>2042</v>
      </c>
      <c r="H4" s="1184"/>
      <c r="I4" s="1184">
        <v>8001.01</v>
      </c>
      <c r="J4" s="1184">
        <v>8201.02</v>
      </c>
      <c r="K4" s="1184">
        <v>3101</v>
      </c>
      <c r="L4" s="1184"/>
      <c r="M4" s="1184">
        <v>4178.0200000000004</v>
      </c>
      <c r="N4" s="1184">
        <v>5103</v>
      </c>
      <c r="O4" s="1184" t="s">
        <v>1499</v>
      </c>
      <c r="P4" s="1184">
        <v>7022</v>
      </c>
    </row>
    <row r="5" spans="1:16" ht="12.75" customHeight="1">
      <c r="A5" s="711" t="str">
        <f t="shared" ref="A5:A67" si="0">HLOOKUP(county,QCTMASTERLIST,B5)</f>
        <v>0005.02</v>
      </c>
      <c r="B5" s="58">
        <v>3</v>
      </c>
      <c r="C5" s="1184">
        <v>141</v>
      </c>
      <c r="D5" s="1184">
        <v>9002</v>
      </c>
      <c r="E5" s="1184">
        <v>6138</v>
      </c>
      <c r="F5" s="1184"/>
      <c r="G5" s="1184">
        <v>2043</v>
      </c>
      <c r="H5" s="1184"/>
      <c r="I5" s="1184">
        <v>8001.02</v>
      </c>
      <c r="J5" s="1184">
        <v>8203</v>
      </c>
      <c r="K5" s="1184">
        <v>3104</v>
      </c>
      <c r="L5" s="1184"/>
      <c r="M5" s="1184">
        <v>4179.01</v>
      </c>
      <c r="N5" s="1184">
        <v>5104</v>
      </c>
      <c r="O5" s="1184" t="s">
        <v>1548</v>
      </c>
      <c r="P5" s="1184">
        <v>7072</v>
      </c>
    </row>
    <row r="6" spans="1:16" ht="12.75" customHeight="1">
      <c r="A6" s="711" t="str">
        <f t="shared" si="0"/>
        <v>0005.04</v>
      </c>
      <c r="B6" s="58">
        <v>4</v>
      </c>
      <c r="C6" s="1184">
        <v>148</v>
      </c>
      <c r="D6" s="1184">
        <v>9004</v>
      </c>
      <c r="E6" s="1184">
        <v>6139.01</v>
      </c>
      <c r="F6" s="1184"/>
      <c r="G6" s="1184">
        <v>2055</v>
      </c>
      <c r="H6" s="1184"/>
      <c r="I6" s="1184">
        <v>8006</v>
      </c>
      <c r="J6" s="1184"/>
      <c r="K6" s="1184">
        <v>3107</v>
      </c>
      <c r="L6" s="1184"/>
      <c r="M6" s="1184">
        <v>4180.04</v>
      </c>
      <c r="N6" s="1184">
        <v>5105.0200000000004</v>
      </c>
      <c r="O6" s="1184" t="s">
        <v>1549</v>
      </c>
      <c r="P6" s="1184">
        <v>7073</v>
      </c>
    </row>
    <row r="7" spans="1:16" ht="12.75" customHeight="1">
      <c r="A7" s="711" t="str">
        <f t="shared" si="0"/>
        <v>0006.02</v>
      </c>
      <c r="B7" s="58">
        <v>5</v>
      </c>
      <c r="C7" s="1184">
        <v>153</v>
      </c>
      <c r="D7" s="1184">
        <v>9006</v>
      </c>
      <c r="E7" s="1184">
        <v>6140</v>
      </c>
      <c r="F7" s="1184"/>
      <c r="G7" s="1184">
        <v>2056</v>
      </c>
      <c r="H7" s="1184"/>
      <c r="I7" s="1184">
        <v>8007</v>
      </c>
      <c r="J7" s="1184"/>
      <c r="K7" s="1184">
        <v>3111</v>
      </c>
      <c r="L7" s="1184"/>
      <c r="M7" s="1184">
        <v>4563.01</v>
      </c>
      <c r="N7" s="1184">
        <v>5108</v>
      </c>
      <c r="O7" s="1184" t="s">
        <v>1500</v>
      </c>
      <c r="P7" s="1184">
        <v>7094</v>
      </c>
    </row>
    <row r="8" spans="1:16" ht="12.75" customHeight="1">
      <c r="A8" s="711" t="str">
        <f t="shared" si="0"/>
        <v>0007.03</v>
      </c>
      <c r="B8" s="58">
        <v>6</v>
      </c>
      <c r="C8" s="1184"/>
      <c r="D8" s="1184">
        <v>9213</v>
      </c>
      <c r="E8" s="1184">
        <v>6402</v>
      </c>
      <c r="F8" s="1184"/>
      <c r="G8" s="1184">
        <v>2058</v>
      </c>
      <c r="H8" s="1184"/>
      <c r="I8" s="1184">
        <v>8008</v>
      </c>
      <c r="J8" s="1184"/>
      <c r="K8" s="1184">
        <v>3112</v>
      </c>
      <c r="L8" s="1184"/>
      <c r="M8" s="1184"/>
      <c r="N8" s="1184">
        <v>5109</v>
      </c>
      <c r="O8" s="1184" t="s">
        <v>1550</v>
      </c>
      <c r="P8" s="1184">
        <v>7105</v>
      </c>
    </row>
    <row r="9" spans="1:16" ht="12.75" customHeight="1">
      <c r="A9" s="711" t="str">
        <f t="shared" si="0"/>
        <v>0007.04</v>
      </c>
      <c r="B9" s="58">
        <v>7</v>
      </c>
      <c r="C9" s="1184"/>
      <c r="D9" s="1184">
        <v>9221</v>
      </c>
      <c r="E9" s="1184">
        <v>6403</v>
      </c>
      <c r="F9" s="1184"/>
      <c r="G9" s="1184">
        <v>2059</v>
      </c>
      <c r="H9" s="1184"/>
      <c r="I9" s="1184">
        <v>8009</v>
      </c>
      <c r="J9" s="1184"/>
      <c r="K9" s="1184">
        <v>3118</v>
      </c>
      <c r="L9" s="1184"/>
      <c r="M9" s="1184"/>
      <c r="N9" s="1184">
        <v>5110</v>
      </c>
      <c r="O9" s="1184" t="s">
        <v>1551</v>
      </c>
      <c r="P9" s="1184">
        <v>7107</v>
      </c>
    </row>
    <row r="10" spans="1:16" ht="12.75" customHeight="1">
      <c r="A10" s="711" t="str">
        <f t="shared" si="0"/>
        <v>0008.02</v>
      </c>
      <c r="B10" s="58">
        <v>8</v>
      </c>
      <c r="C10" s="1184"/>
      <c r="D10" s="1184">
        <v>9351</v>
      </c>
      <c r="E10" s="1184">
        <v>6405</v>
      </c>
      <c r="F10" s="1184"/>
      <c r="G10" s="1184">
        <v>2060</v>
      </c>
      <c r="H10" s="1184"/>
      <c r="I10" s="1184">
        <v>8011.01</v>
      </c>
      <c r="J10" s="1184"/>
      <c r="K10" s="1184">
        <v>3119</v>
      </c>
      <c r="L10" s="1184"/>
      <c r="M10" s="1184"/>
      <c r="N10" s="1184">
        <v>5112</v>
      </c>
      <c r="O10" s="1184" t="s">
        <v>1501</v>
      </c>
      <c r="P10" s="1184">
        <v>7108</v>
      </c>
    </row>
    <row r="11" spans="1:16" ht="12.75" customHeight="1">
      <c r="A11" s="711" t="str">
        <f t="shared" si="0"/>
        <v>0008.03</v>
      </c>
      <c r="B11" s="58">
        <v>9</v>
      </c>
      <c r="C11" s="1184"/>
      <c r="D11" s="1184"/>
      <c r="E11" s="1184">
        <v>6406</v>
      </c>
      <c r="F11" s="1184"/>
      <c r="G11" s="1184">
        <v>2061</v>
      </c>
      <c r="H11" s="1184"/>
      <c r="I11" s="1184">
        <v>8011.02</v>
      </c>
      <c r="J11" s="1184"/>
      <c r="K11" s="1184">
        <v>3121</v>
      </c>
      <c r="L11" s="1184"/>
      <c r="M11" s="1184"/>
      <c r="N11" s="1184">
        <v>5114</v>
      </c>
      <c r="O11" s="1184" t="s">
        <v>1552</v>
      </c>
      <c r="P11" s="1184">
        <v>7110</v>
      </c>
    </row>
    <row r="12" spans="1:16" ht="12.75" customHeight="1">
      <c r="A12" s="711" t="str">
        <f t="shared" si="0"/>
        <v>0101.03</v>
      </c>
      <c r="B12" s="58">
        <v>10</v>
      </c>
      <c r="C12" s="1184"/>
      <c r="D12" s="1184"/>
      <c r="E12" s="1184">
        <v>6409.01</v>
      </c>
      <c r="F12" s="1184"/>
      <c r="G12" s="1184">
        <v>2062</v>
      </c>
      <c r="H12" s="1184"/>
      <c r="I12" s="1184">
        <v>8012</v>
      </c>
      <c r="J12" s="1184"/>
      <c r="K12" s="1184">
        <v>3124</v>
      </c>
      <c r="L12" s="1184"/>
      <c r="M12" s="1184"/>
      <c r="N12" s="1184">
        <v>5116</v>
      </c>
      <c r="O12" s="1184" t="s">
        <v>1553</v>
      </c>
      <c r="P12" s="1184">
        <v>7304.01</v>
      </c>
    </row>
    <row r="13" spans="1:16" ht="12.75" customHeight="1">
      <c r="A13" s="711" t="str">
        <f t="shared" si="0"/>
        <v>0101.04</v>
      </c>
      <c r="B13" s="58">
        <v>11</v>
      </c>
      <c r="C13" s="1184"/>
      <c r="D13" s="1184"/>
      <c r="E13" s="1184">
        <v>6410</v>
      </c>
      <c r="F13" s="1184"/>
      <c r="G13" s="1184">
        <v>2063</v>
      </c>
      <c r="H13" s="1184"/>
      <c r="I13" s="1184">
        <v>8013</v>
      </c>
      <c r="J13" s="1184"/>
      <c r="K13" s="1184">
        <v>3413</v>
      </c>
      <c r="L13" s="1184"/>
      <c r="M13" s="1184"/>
      <c r="N13" s="1184">
        <v>5612</v>
      </c>
      <c r="O13" s="1184" t="s">
        <v>1554</v>
      </c>
      <c r="P13" s="1184">
        <v>7312.03</v>
      </c>
    </row>
    <row r="14" spans="1:16" ht="12.75" customHeight="1">
      <c r="A14" s="711" t="str">
        <f t="shared" si="0"/>
        <v>0102.03</v>
      </c>
      <c r="B14" s="58">
        <v>12</v>
      </c>
      <c r="C14" s="1184"/>
      <c r="D14" s="1184"/>
      <c r="E14" s="1184">
        <v>6411.01</v>
      </c>
      <c r="F14" s="1184"/>
      <c r="G14" s="1184">
        <v>2065</v>
      </c>
      <c r="H14" s="1184"/>
      <c r="I14" s="1184">
        <v>8014.01</v>
      </c>
      <c r="J14" s="1184"/>
      <c r="K14" s="1184">
        <v>3421.02</v>
      </c>
      <c r="L14" s="1184"/>
      <c r="M14" s="1184"/>
      <c r="N14" s="1184"/>
      <c r="O14" s="1184" t="s">
        <v>1555</v>
      </c>
      <c r="P14" s="1184">
        <v>7312.04</v>
      </c>
    </row>
    <row r="15" spans="1:16" ht="12.75" customHeight="1">
      <c r="A15" s="711" t="str">
        <f t="shared" si="0"/>
        <v>0102.04</v>
      </c>
      <c r="B15" s="58">
        <v>13</v>
      </c>
      <c r="C15" s="1184"/>
      <c r="D15" s="1184"/>
      <c r="E15" s="1184">
        <v>6412</v>
      </c>
      <c r="F15" s="1184"/>
      <c r="G15" s="1184">
        <v>2066</v>
      </c>
      <c r="H15" s="1184"/>
      <c r="I15" s="1184">
        <v>8015.02</v>
      </c>
      <c r="J15" s="1184"/>
      <c r="K15" s="1184">
        <v>3422.01</v>
      </c>
      <c r="L15" s="1184"/>
      <c r="M15" s="1184"/>
      <c r="N15" s="1184"/>
      <c r="O15" s="1184" t="s">
        <v>1556</v>
      </c>
      <c r="P15" s="1184">
        <v>7313</v>
      </c>
    </row>
    <row r="16" spans="1:16" ht="12.75" customHeight="1">
      <c r="A16" s="711" t="str">
        <f t="shared" si="0"/>
        <v>0103.00</v>
      </c>
      <c r="B16" s="58">
        <v>14</v>
      </c>
      <c r="C16" s="1184"/>
      <c r="D16" s="1184"/>
      <c r="E16" s="1184">
        <v>6413</v>
      </c>
      <c r="F16" s="1184"/>
      <c r="G16" s="1184">
        <v>2067</v>
      </c>
      <c r="H16" s="1184"/>
      <c r="I16" s="1184">
        <v>8017</v>
      </c>
      <c r="J16" s="1184"/>
      <c r="K16" s="1184">
        <v>3424</v>
      </c>
      <c r="L16" s="1184"/>
      <c r="M16" s="1184"/>
      <c r="N16" s="1184"/>
      <c r="O16" s="1184" t="s">
        <v>1502</v>
      </c>
      <c r="P16" s="1184">
        <v>7314</v>
      </c>
    </row>
    <row r="17" spans="1:16" ht="12.75" customHeight="1">
      <c r="A17" s="711" t="str">
        <f t="shared" si="0"/>
        <v>0104.03</v>
      </c>
      <c r="B17" s="58">
        <v>15</v>
      </c>
      <c r="C17" s="1184"/>
      <c r="D17" s="1184"/>
      <c r="E17" s="1184">
        <v>6414</v>
      </c>
      <c r="F17" s="1184"/>
      <c r="G17" s="1184">
        <v>2068</v>
      </c>
      <c r="H17" s="1184"/>
      <c r="I17" s="1184">
        <v>8018</v>
      </c>
      <c r="J17" s="1184"/>
      <c r="K17" s="1184">
        <v>3425</v>
      </c>
      <c r="L17" s="1184"/>
      <c r="M17" s="1184"/>
      <c r="N17" s="1184"/>
      <c r="O17" s="1184" t="s">
        <v>1557</v>
      </c>
      <c r="P17" s="1184">
        <v>7315</v>
      </c>
    </row>
    <row r="18" spans="1:16" ht="12.75" customHeight="1">
      <c r="A18" s="711" t="str">
        <f t="shared" si="0"/>
        <v>0104.04</v>
      </c>
      <c r="B18" s="58">
        <v>16</v>
      </c>
      <c r="C18" s="1184"/>
      <c r="D18" s="1184"/>
      <c r="E18" s="1184">
        <v>6415</v>
      </c>
      <c r="F18" s="1184"/>
      <c r="G18" s="1184">
        <v>2069</v>
      </c>
      <c r="H18" s="1184"/>
      <c r="I18" s="1184">
        <v>8019.01</v>
      </c>
      <c r="J18" s="1184"/>
      <c r="K18" s="1184">
        <v>3501.04</v>
      </c>
      <c r="L18" s="1184"/>
      <c r="M18" s="1184"/>
      <c r="N18" s="1184"/>
      <c r="O18" s="1184" t="s">
        <v>1558</v>
      </c>
      <c r="P18" s="1184">
        <v>7316</v>
      </c>
    </row>
    <row r="19" spans="1:16" ht="12.75" customHeight="1">
      <c r="A19" s="711" t="str">
        <f t="shared" si="0"/>
        <v>0104.05</v>
      </c>
      <c r="B19" s="58">
        <v>17</v>
      </c>
      <c r="C19" s="1184"/>
      <c r="D19" s="1184"/>
      <c r="E19" s="1184">
        <v>6420</v>
      </c>
      <c r="F19" s="1184"/>
      <c r="G19" s="1184">
        <v>2070</v>
      </c>
      <c r="H19" s="1184"/>
      <c r="I19" s="1184">
        <v>8019.02</v>
      </c>
      <c r="J19" s="1184"/>
      <c r="K19" s="1184">
        <v>3514.03</v>
      </c>
      <c r="L19" s="1184"/>
      <c r="M19" s="1184"/>
      <c r="N19" s="1184"/>
      <c r="O19" s="1184" t="s">
        <v>1559</v>
      </c>
      <c r="P19" s="1184">
        <v>7317</v>
      </c>
    </row>
    <row r="20" spans="1:16" ht="12.75" customHeight="1">
      <c r="A20" s="711" t="str">
        <f t="shared" si="0"/>
        <v>0104.08</v>
      </c>
      <c r="B20" s="58">
        <v>18</v>
      </c>
      <c r="C20" s="1184"/>
      <c r="D20" s="1184"/>
      <c r="E20" s="1184">
        <v>6506</v>
      </c>
      <c r="F20" s="1184"/>
      <c r="G20" s="1184">
        <v>2071</v>
      </c>
      <c r="H20" s="1184"/>
      <c r="I20" s="1184">
        <v>8020</v>
      </c>
      <c r="J20" s="1184"/>
      <c r="K20" s="1184">
        <v>3514.04</v>
      </c>
      <c r="L20" s="1184"/>
      <c r="M20" s="1184"/>
      <c r="N20" s="1184"/>
      <c r="O20" s="1184" t="s">
        <v>1560</v>
      </c>
      <c r="P20" s="1184">
        <v>7318</v>
      </c>
    </row>
    <row r="21" spans="1:16" ht="12.75" customHeight="1">
      <c r="A21" s="711" t="str">
        <f t="shared" si="0"/>
        <v>0105.00</v>
      </c>
      <c r="B21" s="58">
        <v>19</v>
      </c>
      <c r="C21" s="1184"/>
      <c r="D21" s="1184"/>
      <c r="E21" s="1184">
        <v>6507</v>
      </c>
      <c r="F21" s="1184"/>
      <c r="G21" s="1184">
        <v>2072</v>
      </c>
      <c r="H21" s="1184"/>
      <c r="I21" s="1184">
        <v>8021</v>
      </c>
      <c r="J21" s="1184"/>
      <c r="K21" s="1184">
        <v>3522</v>
      </c>
      <c r="L21" s="1184"/>
      <c r="M21" s="1184"/>
      <c r="N21" s="1184"/>
      <c r="O21" s="1184" t="s">
        <v>1503</v>
      </c>
      <c r="P21" s="1184">
        <v>7319</v>
      </c>
    </row>
    <row r="22" spans="1:16" ht="12.75" customHeight="1">
      <c r="A22" s="711" t="str">
        <f t="shared" si="0"/>
        <v>0402.00</v>
      </c>
      <c r="B22" s="58">
        <v>20</v>
      </c>
      <c r="C22" s="1184"/>
      <c r="D22" s="1184"/>
      <c r="E22" s="1184">
        <v>6508</v>
      </c>
      <c r="F22" s="1184"/>
      <c r="G22" s="1184">
        <v>2108</v>
      </c>
      <c r="H22" s="1184"/>
      <c r="I22" s="1184">
        <v>8022</v>
      </c>
      <c r="J22" s="1184"/>
      <c r="K22" s="1184">
        <v>3524</v>
      </c>
      <c r="L22" s="1184"/>
      <c r="M22" s="1184"/>
      <c r="N22" s="1184"/>
      <c r="O22" s="1184" t="s">
        <v>1504</v>
      </c>
      <c r="P22" s="1184">
        <v>7320.01</v>
      </c>
    </row>
    <row r="23" spans="1:16" ht="12.75" customHeight="1">
      <c r="A23" s="711" t="str">
        <f t="shared" si="0"/>
        <v>0408.01</v>
      </c>
      <c r="B23" s="58">
        <v>21</v>
      </c>
      <c r="C23" s="1184"/>
      <c r="D23" s="1184"/>
      <c r="E23" s="1184">
        <v>6509</v>
      </c>
      <c r="F23" s="1184"/>
      <c r="G23" s="1184">
        <v>2215</v>
      </c>
      <c r="H23" s="1184"/>
      <c r="I23" s="1184">
        <v>8023</v>
      </c>
      <c r="J23" s="1184"/>
      <c r="K23" s="1184">
        <v>3526</v>
      </c>
      <c r="L23" s="1184"/>
      <c r="M23" s="1184"/>
      <c r="N23" s="1184"/>
      <c r="O23" s="1184" t="s">
        <v>1561</v>
      </c>
      <c r="P23" s="1184">
        <v>7324</v>
      </c>
    </row>
    <row r="24" spans="1:16" ht="12.75" customHeight="1">
      <c r="A24" s="711" t="str">
        <f t="shared" si="0"/>
        <v>0501.01</v>
      </c>
      <c r="B24" s="58">
        <v>22</v>
      </c>
      <c r="C24" s="1184"/>
      <c r="D24" s="1184"/>
      <c r="E24" s="1184">
        <v>6511</v>
      </c>
      <c r="F24" s="1184"/>
      <c r="G24" s="1184">
        <v>2216</v>
      </c>
      <c r="H24" s="1184"/>
      <c r="I24" s="1184">
        <v>8109.01</v>
      </c>
      <c r="J24" s="1184"/>
      <c r="K24" s="1184">
        <v>3527</v>
      </c>
      <c r="L24" s="1184"/>
      <c r="M24" s="1184"/>
      <c r="N24" s="1184"/>
      <c r="O24" s="1184" t="s">
        <v>1562</v>
      </c>
      <c r="P24" s="1184">
        <v>7325</v>
      </c>
    </row>
    <row r="25" spans="1:16" ht="12.75" customHeight="1">
      <c r="A25" s="711" t="str">
        <f t="shared" si="0"/>
        <v>0503.00</v>
      </c>
      <c r="B25" s="58">
        <v>23</v>
      </c>
      <c r="C25" s="1184"/>
      <c r="D25" s="1184"/>
      <c r="E25" s="1184">
        <v>6512</v>
      </c>
      <c r="F25" s="1184"/>
      <c r="G25" s="1184">
        <v>2217</v>
      </c>
      <c r="H25" s="1184"/>
      <c r="I25" s="1184">
        <v>8109.02</v>
      </c>
      <c r="J25" s="1184"/>
      <c r="K25" s="1184">
        <v>3531.02</v>
      </c>
      <c r="L25" s="1184"/>
      <c r="M25" s="1184"/>
      <c r="N25" s="1184"/>
      <c r="O25" s="1184" t="s">
        <v>1505</v>
      </c>
      <c r="P25" s="1184">
        <v>7326</v>
      </c>
    </row>
    <row r="26" spans="1:16" ht="12.75" customHeight="1">
      <c r="A26" s="711" t="str">
        <f t="shared" si="0"/>
        <v>0505.00</v>
      </c>
      <c r="B26" s="58">
        <v>24</v>
      </c>
      <c r="C26" s="1184"/>
      <c r="D26" s="1184"/>
      <c r="E26" s="1184">
        <v>6513</v>
      </c>
      <c r="F26" s="1184"/>
      <c r="G26" s="1184">
        <v>2501</v>
      </c>
      <c r="H26" s="1184"/>
      <c r="I26" s="1184">
        <v>8111.01</v>
      </c>
      <c r="J26" s="1184"/>
      <c r="K26" s="1184">
        <v>3535</v>
      </c>
      <c r="L26" s="1184"/>
      <c r="M26" s="1184"/>
      <c r="N26" s="1184"/>
      <c r="O26" s="1184" t="s">
        <v>1506</v>
      </c>
      <c r="P26" s="1184">
        <v>7327</v>
      </c>
    </row>
    <row r="27" spans="1:16" ht="12.75" customHeight="1">
      <c r="A27" s="711" t="str">
        <f t="shared" si="0"/>
        <v>0510.00</v>
      </c>
      <c r="B27" s="58">
        <v>25</v>
      </c>
      <c r="C27" s="1184"/>
      <c r="D27" s="1184"/>
      <c r="E27" s="1184">
        <v>6514</v>
      </c>
      <c r="F27" s="1184"/>
      <c r="G27" s="1184">
        <v>2502</v>
      </c>
      <c r="H27" s="1184"/>
      <c r="I27" s="1184">
        <v>8114</v>
      </c>
      <c r="J27" s="1184"/>
      <c r="K27" s="1184">
        <v>3539</v>
      </c>
      <c r="L27" s="1184"/>
      <c r="M27" s="1184"/>
      <c r="N27" s="1184"/>
      <c r="O27" s="1184" t="s">
        <v>1507</v>
      </c>
      <c r="P27" s="1184">
        <v>7330</v>
      </c>
    </row>
    <row r="28" spans="1:16" ht="12.75" customHeight="1">
      <c r="A28" s="711" t="str">
        <f t="shared" si="0"/>
        <v>0607.00</v>
      </c>
      <c r="B28" s="58">
        <v>26</v>
      </c>
      <c r="C28" s="1184"/>
      <c r="D28" s="1184"/>
      <c r="E28" s="1184">
        <v>6517</v>
      </c>
      <c r="F28" s="1184"/>
      <c r="G28" s="1184">
        <v>2503</v>
      </c>
      <c r="H28" s="1184"/>
      <c r="I28" s="1184">
        <v>8115</v>
      </c>
      <c r="J28" s="1184"/>
      <c r="K28" s="1184">
        <v>3687</v>
      </c>
      <c r="L28" s="1184"/>
      <c r="M28" s="1184"/>
      <c r="N28" s="1184"/>
      <c r="O28" s="1184" t="s">
        <v>1508</v>
      </c>
      <c r="P28" s="1184">
        <v>7443</v>
      </c>
    </row>
    <row r="29" spans="1:16" ht="12.75" customHeight="1">
      <c r="A29" s="711" t="str">
        <f t="shared" si="0"/>
        <v>0610.00</v>
      </c>
      <c r="B29" s="58">
        <v>27</v>
      </c>
      <c r="C29" s="1184"/>
      <c r="D29" s="1184"/>
      <c r="E29" s="1184">
        <v>6518</v>
      </c>
      <c r="F29" s="1184"/>
      <c r="G29" s="1184">
        <v>2504</v>
      </c>
      <c r="H29" s="1184"/>
      <c r="I29" s="1184">
        <v>8116</v>
      </c>
      <c r="J29" s="1184"/>
      <c r="K29" s="1184">
        <v>3689.02</v>
      </c>
      <c r="L29" s="1184"/>
      <c r="M29" s="1184"/>
      <c r="N29" s="1184"/>
      <c r="O29" s="1184" t="s">
        <v>1509</v>
      </c>
      <c r="P29" s="1184">
        <v>7542</v>
      </c>
    </row>
    <row r="30" spans="1:16" ht="12.75" customHeight="1">
      <c r="A30" s="711" t="str">
        <f t="shared" si="0"/>
        <v>0611.01</v>
      </c>
      <c r="B30" s="58">
        <v>28</v>
      </c>
      <c r="C30" s="1184"/>
      <c r="D30" s="1184"/>
      <c r="E30" s="1184">
        <v>6519</v>
      </c>
      <c r="F30" s="1184"/>
      <c r="G30" s="1184">
        <v>2505</v>
      </c>
      <c r="H30" s="1184"/>
      <c r="I30" s="1184">
        <v>8117</v>
      </c>
      <c r="J30" s="1184"/>
      <c r="K30" s="1184">
        <v>3831.01</v>
      </c>
      <c r="L30" s="1184"/>
      <c r="M30" s="1184"/>
      <c r="N30" s="1184"/>
      <c r="O30" s="1184" t="s">
        <v>1563</v>
      </c>
      <c r="P30" s="1184">
        <v>7543</v>
      </c>
    </row>
    <row r="31" spans="1:16" ht="12.75" customHeight="1">
      <c r="A31" s="711" t="str">
        <f t="shared" si="0"/>
        <v>0701.01</v>
      </c>
      <c r="B31" s="58">
        <v>29</v>
      </c>
      <c r="C31" s="1184"/>
      <c r="D31" s="1184"/>
      <c r="E31" s="1184">
        <v>6525</v>
      </c>
      <c r="F31" s="1184"/>
      <c r="G31" s="1184">
        <v>2506</v>
      </c>
      <c r="H31" s="1184"/>
      <c r="I31" s="1184">
        <v>8118</v>
      </c>
      <c r="J31" s="1184"/>
      <c r="K31" s="1184">
        <v>3831.02</v>
      </c>
      <c r="L31" s="1184"/>
      <c r="M31" s="1184"/>
      <c r="N31" s="1184"/>
      <c r="O31" s="1184" t="s">
        <v>1564</v>
      </c>
      <c r="P31" s="1184">
        <v>7572</v>
      </c>
    </row>
    <row r="32" spans="1:16" ht="12.75" customHeight="1">
      <c r="A32" s="711" t="str">
        <f t="shared" si="0"/>
        <v>0702.00</v>
      </c>
      <c r="B32" s="58">
        <v>30</v>
      </c>
      <c r="C32" s="1184"/>
      <c r="D32" s="1184"/>
      <c r="E32" s="1184">
        <v>6526</v>
      </c>
      <c r="F32" s="1184"/>
      <c r="G32" s="1184">
        <v>2507</v>
      </c>
      <c r="H32" s="1184"/>
      <c r="I32" s="1184">
        <v>8120.01</v>
      </c>
      <c r="J32" s="1184"/>
      <c r="K32" s="1184">
        <v>3883</v>
      </c>
      <c r="L32" s="1184"/>
      <c r="M32" s="1184"/>
      <c r="N32" s="1184"/>
      <c r="O32" s="1184" t="s">
        <v>1510</v>
      </c>
      <c r="P32" s="1184">
        <v>7573</v>
      </c>
    </row>
    <row r="33" spans="1:16" ht="12.75" customHeight="1">
      <c r="A33" s="711" t="str">
        <f t="shared" si="0"/>
        <v>0704.02</v>
      </c>
      <c r="B33" s="58">
        <v>31</v>
      </c>
      <c r="C33" s="1184"/>
      <c r="D33" s="1184"/>
      <c r="E33" s="1184">
        <v>6527</v>
      </c>
      <c r="F33" s="1184"/>
      <c r="G33" s="1184">
        <v>2508</v>
      </c>
      <c r="H33" s="1184"/>
      <c r="I33" s="1184">
        <v>8120.02</v>
      </c>
      <c r="J33" s="1184"/>
      <c r="K33" s="1184"/>
      <c r="L33" s="1184"/>
      <c r="M33" s="1184"/>
      <c r="N33" s="1184"/>
      <c r="O33" s="1184" t="s">
        <v>1565</v>
      </c>
      <c r="P33" s="1184"/>
    </row>
    <row r="34" spans="1:16" ht="12.75" customHeight="1">
      <c r="A34" s="711" t="str">
        <f t="shared" si="0"/>
        <v>0709.00</v>
      </c>
      <c r="B34" s="58">
        <v>32</v>
      </c>
      <c r="C34" s="1184"/>
      <c r="D34" s="1184"/>
      <c r="E34" s="1184"/>
      <c r="F34" s="1184"/>
      <c r="G34" s="1184">
        <v>2509</v>
      </c>
      <c r="H34" s="1184"/>
      <c r="I34" s="1184">
        <v>8121.03</v>
      </c>
      <c r="J34" s="1184"/>
      <c r="K34" s="1184"/>
      <c r="L34" s="1184"/>
      <c r="M34" s="1184"/>
      <c r="N34" s="1184"/>
      <c r="O34" s="1184" t="s">
        <v>1511</v>
      </c>
      <c r="P34" s="1184"/>
    </row>
    <row r="35" spans="1:16" ht="12.75" customHeight="1">
      <c r="A35" s="711" t="str">
        <f t="shared" si="0"/>
        <v>0711.01</v>
      </c>
      <c r="B35" s="58">
        <v>33</v>
      </c>
      <c r="C35" s="1184"/>
      <c r="D35" s="1184"/>
      <c r="E35" s="1184"/>
      <c r="F35" s="1184"/>
      <c r="G35" s="1184">
        <v>2510</v>
      </c>
      <c r="H35" s="1184"/>
      <c r="I35" s="1184">
        <v>8123</v>
      </c>
      <c r="J35" s="1184"/>
      <c r="K35" s="1184"/>
      <c r="L35" s="1184"/>
      <c r="M35" s="1184"/>
      <c r="N35" s="1184"/>
      <c r="O35" s="1184" t="s">
        <v>1566</v>
      </c>
      <c r="P35" s="1184"/>
    </row>
    <row r="36" spans="1:16" ht="12.75" customHeight="1">
      <c r="A36" s="711" t="str">
        <f t="shared" si="0"/>
        <v>0712.01</v>
      </c>
      <c r="B36" s="58">
        <v>34</v>
      </c>
      <c r="C36" s="1184"/>
      <c r="D36" s="1184"/>
      <c r="E36" s="1184"/>
      <c r="F36" s="1184"/>
      <c r="G36" s="1184">
        <v>2511</v>
      </c>
      <c r="H36" s="1184"/>
      <c r="I36" s="1184">
        <v>8127.02</v>
      </c>
      <c r="J36" s="1184"/>
      <c r="K36" s="1184"/>
      <c r="L36" s="1184"/>
      <c r="M36" s="1184"/>
      <c r="N36" s="1184"/>
      <c r="O36" s="1184" t="s">
        <v>1567</v>
      </c>
      <c r="P36" s="1184"/>
    </row>
    <row r="37" spans="1:16" ht="12.75" customHeight="1">
      <c r="A37" s="711" t="str">
        <f t="shared" si="0"/>
        <v>0801.00</v>
      </c>
      <c r="B37" s="58">
        <v>35</v>
      </c>
      <c r="C37" s="1184"/>
      <c r="D37" s="1184"/>
      <c r="E37" s="1184"/>
      <c r="F37" s="1184"/>
      <c r="G37" s="1184">
        <v>2512</v>
      </c>
      <c r="H37" s="1184"/>
      <c r="I37" s="1184"/>
      <c r="J37" s="1184"/>
      <c r="K37" s="1184"/>
      <c r="L37" s="1184"/>
      <c r="M37" s="1184"/>
      <c r="N37" s="1184"/>
      <c r="O37" s="1184" t="s">
        <v>1512</v>
      </c>
      <c r="P37" s="1184"/>
    </row>
    <row r="38" spans="1:16" ht="12.75" customHeight="1">
      <c r="A38" s="711" t="str">
        <f t="shared" si="0"/>
        <v>0803.00</v>
      </c>
      <c r="B38" s="58">
        <v>36</v>
      </c>
      <c r="C38" s="1184"/>
      <c r="D38" s="1184"/>
      <c r="E38" s="1184"/>
      <c r="F38" s="1184"/>
      <c r="G38" s="1184">
        <v>2513</v>
      </c>
      <c r="H38" s="1184"/>
      <c r="I38" s="1184"/>
      <c r="J38" s="1184"/>
      <c r="K38" s="1184"/>
      <c r="L38" s="1184"/>
      <c r="M38" s="1184"/>
      <c r="N38" s="1184"/>
      <c r="O38" s="1184" t="s">
        <v>1513</v>
      </c>
      <c r="P38" s="1184"/>
    </row>
    <row r="39" spans="1:16" ht="12.75" customHeight="1">
      <c r="A39" s="711" t="str">
        <f t="shared" si="0"/>
        <v>0804.01</v>
      </c>
      <c r="B39" s="58">
        <v>37</v>
      </c>
      <c r="C39" s="1184"/>
      <c r="D39" s="1184"/>
      <c r="E39" s="1184"/>
      <c r="F39" s="1184"/>
      <c r="G39" s="1184">
        <v>2514</v>
      </c>
      <c r="H39" s="1184"/>
      <c r="I39" s="1184"/>
      <c r="J39" s="1184"/>
      <c r="K39" s="1184"/>
      <c r="L39" s="1184"/>
      <c r="M39" s="1184"/>
      <c r="N39" s="1184"/>
      <c r="O39" s="1184" t="s">
        <v>1568</v>
      </c>
      <c r="P39" s="1184"/>
    </row>
    <row r="40" spans="1:16" ht="12.75" customHeight="1">
      <c r="A40" s="711" t="str">
        <f t="shared" si="0"/>
        <v>0805.00</v>
      </c>
      <c r="B40" s="58">
        <v>38</v>
      </c>
      <c r="C40" s="1184"/>
      <c r="D40" s="1184"/>
      <c r="E40" s="1184"/>
      <c r="F40" s="1184"/>
      <c r="G40" s="1184">
        <v>2515</v>
      </c>
      <c r="H40" s="1184"/>
      <c r="I40" s="1184"/>
      <c r="J40" s="1184"/>
      <c r="K40" s="1184"/>
      <c r="L40" s="1184"/>
      <c r="M40" s="1184"/>
      <c r="N40" s="1184"/>
      <c r="O40" s="1184" t="s">
        <v>1514</v>
      </c>
      <c r="P40" s="1184"/>
    </row>
    <row r="41" spans="1:16" ht="12.75" customHeight="1">
      <c r="A41" s="711" t="str">
        <f t="shared" si="0"/>
        <v>0806.01</v>
      </c>
      <c r="B41" s="58">
        <v>39</v>
      </c>
      <c r="C41" s="1184"/>
      <c r="D41" s="1184"/>
      <c r="E41" s="1184"/>
      <c r="F41" s="1184"/>
      <c r="G41" s="1184">
        <v>2516</v>
      </c>
      <c r="H41" s="1184"/>
      <c r="I41" s="1184"/>
      <c r="J41" s="1184"/>
      <c r="K41" s="1184"/>
      <c r="L41" s="1184"/>
      <c r="M41" s="1184"/>
      <c r="N41" s="1184"/>
      <c r="O41" s="1184" t="s">
        <v>1569</v>
      </c>
      <c r="P41" s="1184"/>
    </row>
    <row r="42" spans="1:16" ht="12.75" customHeight="1">
      <c r="A42" s="711" t="str">
        <f t="shared" si="0"/>
        <v>0808.01</v>
      </c>
      <c r="B42" s="58">
        <v>40</v>
      </c>
      <c r="C42" s="1184"/>
      <c r="D42" s="1184"/>
      <c r="E42" s="1184"/>
      <c r="F42" s="1184"/>
      <c r="G42" s="1184">
        <v>2517</v>
      </c>
      <c r="H42" s="1184"/>
      <c r="I42" s="1184"/>
      <c r="J42" s="1184"/>
      <c r="K42" s="1184"/>
      <c r="L42" s="1184"/>
      <c r="M42" s="1184"/>
      <c r="N42" s="1184"/>
      <c r="O42" s="1184" t="s">
        <v>1570</v>
      </c>
      <c r="P42" s="1184"/>
    </row>
    <row r="43" spans="1:16" ht="12.75" customHeight="1">
      <c r="A43" s="711" t="str">
        <f t="shared" si="0"/>
        <v>0809.00</v>
      </c>
      <c r="B43" s="58">
        <v>41</v>
      </c>
      <c r="C43" s="1184"/>
      <c r="D43" s="1184"/>
      <c r="E43" s="1184"/>
      <c r="F43" s="1184"/>
      <c r="G43" s="1184">
        <v>2524</v>
      </c>
      <c r="H43" s="1184"/>
      <c r="I43" s="1184"/>
      <c r="J43" s="1184"/>
      <c r="K43" s="1184"/>
      <c r="L43" s="1184"/>
      <c r="M43" s="1184"/>
      <c r="N43" s="1184"/>
      <c r="O43" s="1184" t="s">
        <v>1515</v>
      </c>
      <c r="P43" s="1184"/>
    </row>
    <row r="44" spans="1:16" ht="12.75" customHeight="1">
      <c r="A44" s="711" t="str">
        <f t="shared" si="0"/>
        <v>0810.01</v>
      </c>
      <c r="B44" s="58">
        <v>42</v>
      </c>
      <c r="C44" s="1184"/>
      <c r="D44" s="1184"/>
      <c r="E44" s="1184"/>
      <c r="F44" s="1184"/>
      <c r="G44" s="1184">
        <v>2601</v>
      </c>
      <c r="H44" s="1184"/>
      <c r="I44" s="1184"/>
      <c r="J44" s="1184"/>
      <c r="K44" s="1184"/>
      <c r="L44" s="1184"/>
      <c r="M44" s="1184"/>
      <c r="N44" s="1184"/>
      <c r="O44" s="1184" t="s">
        <v>1571</v>
      </c>
      <c r="P44" s="1184"/>
    </row>
    <row r="45" spans="1:16" ht="12.75" customHeight="1">
      <c r="A45" s="711" t="str">
        <f t="shared" si="0"/>
        <v>0811.00</v>
      </c>
      <c r="B45" s="58">
        <v>43</v>
      </c>
      <c r="C45" s="1184"/>
      <c r="D45" s="1184"/>
      <c r="E45" s="1184"/>
      <c r="F45" s="1184"/>
      <c r="G45" s="1184">
        <v>2602</v>
      </c>
      <c r="H45" s="1184"/>
      <c r="I45" s="1184"/>
      <c r="J45" s="1184"/>
      <c r="K45" s="1184"/>
      <c r="L45" s="1184"/>
      <c r="M45" s="1184"/>
      <c r="N45" s="1184"/>
      <c r="O45" s="1184" t="s">
        <v>1516</v>
      </c>
      <c r="P45" s="1184"/>
    </row>
    <row r="46" spans="1:16" ht="12.75" customHeight="1">
      <c r="A46" s="711" t="str">
        <f t="shared" si="0"/>
        <v>0812.00</v>
      </c>
      <c r="B46" s="58">
        <v>44</v>
      </c>
      <c r="C46" s="1184"/>
      <c r="D46" s="1184"/>
      <c r="E46" s="1184"/>
      <c r="F46" s="1184"/>
      <c r="G46" s="1184">
        <v>2608</v>
      </c>
      <c r="H46" s="1184"/>
      <c r="I46" s="1184"/>
      <c r="J46" s="1184"/>
      <c r="K46" s="1184"/>
      <c r="L46" s="1184"/>
      <c r="M46" s="1184"/>
      <c r="N46" s="1184"/>
      <c r="O46" s="1184" t="s">
        <v>1517</v>
      </c>
      <c r="P46" s="1184"/>
    </row>
    <row r="47" spans="1:16" ht="12.75" customHeight="1">
      <c r="A47" s="711" t="str">
        <f t="shared" si="0"/>
        <v>0813.00</v>
      </c>
      <c r="B47" s="58">
        <v>45</v>
      </c>
      <c r="C47" s="1184"/>
      <c r="D47" s="1184"/>
      <c r="E47" s="1184"/>
      <c r="F47" s="1184"/>
      <c r="G47" s="1184"/>
      <c r="H47" s="1184"/>
      <c r="I47" s="1184"/>
      <c r="J47" s="1184"/>
      <c r="K47" s="1184"/>
      <c r="L47" s="1184"/>
      <c r="M47" s="1184"/>
      <c r="N47" s="1184"/>
      <c r="O47" s="1184" t="s">
        <v>1518</v>
      </c>
      <c r="P47" s="1184"/>
    </row>
    <row r="48" spans="1:16" ht="12.75" customHeight="1">
      <c r="A48" s="711" t="str">
        <f t="shared" si="0"/>
        <v>0815.00</v>
      </c>
      <c r="B48" s="58">
        <v>46</v>
      </c>
      <c r="C48" s="1184"/>
      <c r="D48" s="1184"/>
      <c r="E48" s="1184"/>
      <c r="F48" s="1184"/>
      <c r="G48" s="1184"/>
      <c r="H48" s="1184"/>
      <c r="I48" s="1184"/>
      <c r="J48" s="1184"/>
      <c r="K48" s="1184"/>
      <c r="L48" s="1184"/>
      <c r="M48" s="1184"/>
      <c r="N48" s="1184"/>
      <c r="O48" s="1184" t="s">
        <v>1519</v>
      </c>
      <c r="P48" s="1184"/>
    </row>
    <row r="49" spans="1:16" ht="12.75" customHeight="1">
      <c r="A49" s="711" t="str">
        <f t="shared" si="0"/>
        <v>0817.00</v>
      </c>
      <c r="B49" s="58">
        <v>47</v>
      </c>
      <c r="C49" s="1184"/>
      <c r="D49" s="1184"/>
      <c r="E49" s="1184"/>
      <c r="F49" s="1184"/>
      <c r="G49" s="1184"/>
      <c r="H49" s="1184"/>
      <c r="I49" s="1184"/>
      <c r="J49" s="1184"/>
      <c r="K49" s="1184"/>
      <c r="L49" s="1184"/>
      <c r="M49" s="1184"/>
      <c r="N49" s="1184"/>
      <c r="O49" s="1184" t="s">
        <v>1520</v>
      </c>
      <c r="P49" s="1184"/>
    </row>
    <row r="50" spans="1:16" ht="12.75" customHeight="1">
      <c r="A50" s="711" t="str">
        <f t="shared" si="0"/>
        <v>0818.00</v>
      </c>
      <c r="B50" s="58">
        <v>48</v>
      </c>
      <c r="C50" s="1184"/>
      <c r="D50" s="1184"/>
      <c r="E50" s="1184"/>
      <c r="F50" s="1184"/>
      <c r="G50" s="1184"/>
      <c r="H50" s="1184"/>
      <c r="I50" s="1184"/>
      <c r="J50" s="1184"/>
      <c r="K50" s="1184"/>
      <c r="L50" s="1184"/>
      <c r="M50" s="1184"/>
      <c r="N50" s="1184"/>
      <c r="O50" s="1184" t="s">
        <v>1521</v>
      </c>
      <c r="P50" s="1184"/>
    </row>
    <row r="51" spans="1:16" ht="12.75" customHeight="1">
      <c r="A51" s="711" t="str">
        <f t="shared" si="0"/>
        <v>0819.00</v>
      </c>
      <c r="B51" s="58">
        <v>49</v>
      </c>
      <c r="C51" s="1184"/>
      <c r="D51" s="1184"/>
      <c r="E51" s="1184"/>
      <c r="F51" s="1184"/>
      <c r="G51" s="1184"/>
      <c r="H51" s="1184"/>
      <c r="I51" s="1184"/>
      <c r="J51" s="1184"/>
      <c r="K51" s="1184"/>
      <c r="L51" s="1184"/>
      <c r="M51" s="1184"/>
      <c r="N51" s="1184"/>
      <c r="O51" s="1184" t="s">
        <v>1572</v>
      </c>
      <c r="P51" s="1184"/>
    </row>
    <row r="52" spans="1:16" ht="12.75" customHeight="1">
      <c r="A52" s="711" t="str">
        <f t="shared" si="0"/>
        <v>0820.00</v>
      </c>
      <c r="B52" s="58">
        <v>50</v>
      </c>
      <c r="C52" s="1184"/>
      <c r="D52" s="1184"/>
      <c r="E52" s="1184"/>
      <c r="F52" s="1184"/>
      <c r="G52" s="1184"/>
      <c r="H52" s="1184"/>
      <c r="I52" s="1184"/>
      <c r="J52" s="1184"/>
      <c r="K52" s="1184"/>
      <c r="L52" s="1184"/>
      <c r="M52" s="1184"/>
      <c r="N52" s="1184"/>
      <c r="O52" s="1184" t="s">
        <v>1522</v>
      </c>
      <c r="P52" s="1184"/>
    </row>
    <row r="53" spans="1:16" ht="12.75" customHeight="1">
      <c r="A53" s="711" t="str">
        <f t="shared" si="0"/>
        <v>0821.00</v>
      </c>
      <c r="B53" s="58">
        <v>51</v>
      </c>
      <c r="C53" s="1184"/>
      <c r="D53" s="1184"/>
      <c r="E53" s="1184"/>
      <c r="F53" s="1184"/>
      <c r="G53" s="1184"/>
      <c r="H53" s="1184"/>
      <c r="I53" s="1184"/>
      <c r="J53" s="1184"/>
      <c r="K53" s="1184"/>
      <c r="L53" s="1184"/>
      <c r="M53" s="1184"/>
      <c r="N53" s="1184"/>
      <c r="O53" s="1184" t="s">
        <v>1523</v>
      </c>
      <c r="P53" s="1184"/>
    </row>
    <row r="54" spans="1:16" ht="12.75" customHeight="1">
      <c r="A54" s="711" t="str">
        <f t="shared" si="0"/>
        <v>0901.00</v>
      </c>
      <c r="B54" s="58">
        <v>52</v>
      </c>
      <c r="C54" s="1184"/>
      <c r="D54" s="1184"/>
      <c r="E54" s="1184"/>
      <c r="F54" s="1184"/>
      <c r="G54" s="1184"/>
      <c r="H54" s="1184"/>
      <c r="I54" s="1184"/>
      <c r="J54" s="1184"/>
      <c r="K54" s="1184"/>
      <c r="L54" s="1184"/>
      <c r="M54" s="1184"/>
      <c r="N54" s="1184"/>
      <c r="O54" s="1184" t="s">
        <v>1524</v>
      </c>
      <c r="P54" s="1184"/>
    </row>
    <row r="55" spans="1:16" ht="12.75" customHeight="1">
      <c r="A55" s="711" t="str">
        <f t="shared" si="0"/>
        <v>0902.00</v>
      </c>
      <c r="B55" s="58">
        <v>53</v>
      </c>
      <c r="C55" s="1184"/>
      <c r="D55" s="1184"/>
      <c r="E55" s="1184"/>
      <c r="F55" s="1184"/>
      <c r="G55" s="1184"/>
      <c r="H55" s="1184"/>
      <c r="I55" s="1184"/>
      <c r="J55" s="1184"/>
      <c r="K55" s="1184"/>
      <c r="L55" s="1184"/>
      <c r="M55" s="1184"/>
      <c r="N55" s="1184"/>
      <c r="O55" s="1184" t="s">
        <v>1525</v>
      </c>
      <c r="P55" s="1184"/>
    </row>
    <row r="56" spans="1:16" ht="12.75" customHeight="1">
      <c r="A56" s="711" t="str">
        <f t="shared" si="0"/>
        <v>0903.00</v>
      </c>
      <c r="B56" s="58">
        <v>54</v>
      </c>
      <c r="C56" s="1184"/>
      <c r="D56" s="1184"/>
      <c r="E56" s="1184"/>
      <c r="F56" s="1184"/>
      <c r="G56" s="1184"/>
      <c r="H56" s="1184"/>
      <c r="I56" s="1184"/>
      <c r="J56" s="1184"/>
      <c r="K56" s="1184"/>
      <c r="L56" s="1184"/>
      <c r="M56" s="1184"/>
      <c r="N56" s="1184"/>
      <c r="O56" s="1184" t="s">
        <v>1526</v>
      </c>
      <c r="P56" s="1184"/>
    </row>
    <row r="57" spans="1:16" ht="12.75" customHeight="1">
      <c r="A57" s="711" t="str">
        <f t="shared" si="0"/>
        <v>0904.00</v>
      </c>
      <c r="B57" s="58">
        <v>55</v>
      </c>
      <c r="C57" s="1184"/>
      <c r="D57" s="1184"/>
      <c r="E57" s="1184"/>
      <c r="F57" s="1184"/>
      <c r="G57" s="1184"/>
      <c r="H57" s="1184"/>
      <c r="I57" s="1184"/>
      <c r="J57" s="1184"/>
      <c r="K57" s="1184"/>
      <c r="L57" s="1184"/>
      <c r="M57" s="1184"/>
      <c r="N57" s="1184"/>
      <c r="O57" s="1184" t="s">
        <v>1527</v>
      </c>
      <c r="P57" s="1184"/>
    </row>
    <row r="58" spans="1:16" ht="12.75" customHeight="1">
      <c r="A58" s="711" t="str">
        <f t="shared" si="0"/>
        <v>0906.00</v>
      </c>
      <c r="B58" s="58">
        <v>56</v>
      </c>
      <c r="C58" s="1184"/>
      <c r="D58" s="1184"/>
      <c r="E58" s="1184"/>
      <c r="F58" s="1184"/>
      <c r="G58" s="1184"/>
      <c r="H58" s="1184"/>
      <c r="I58" s="1184"/>
      <c r="J58" s="1184"/>
      <c r="K58" s="1184"/>
      <c r="L58" s="1184"/>
      <c r="M58" s="1184"/>
      <c r="N58" s="1184"/>
      <c r="O58" s="1184" t="s">
        <v>1528</v>
      </c>
      <c r="P58" s="1184"/>
    </row>
    <row r="59" spans="1:16" ht="12.75" customHeight="1">
      <c r="A59" s="711" t="str">
        <f t="shared" si="0"/>
        <v>0907.00</v>
      </c>
      <c r="B59" s="58">
        <v>57</v>
      </c>
      <c r="C59" s="1184"/>
      <c r="D59" s="1184"/>
      <c r="E59" s="1184"/>
      <c r="F59" s="1184"/>
      <c r="G59" s="1184"/>
      <c r="H59" s="1184"/>
      <c r="I59" s="1184"/>
      <c r="J59" s="1184"/>
      <c r="K59" s="1184"/>
      <c r="L59" s="1184"/>
      <c r="M59" s="1184"/>
      <c r="N59" s="1184"/>
      <c r="O59" s="1184" t="s">
        <v>1573</v>
      </c>
      <c r="P59" s="1184"/>
    </row>
    <row r="60" spans="1:16" ht="12.75" customHeight="1">
      <c r="A60" s="711" t="str">
        <f t="shared" si="0"/>
        <v>0909.01</v>
      </c>
      <c r="B60" s="58">
        <v>58</v>
      </c>
      <c r="C60" s="1184"/>
      <c r="D60" s="1184"/>
      <c r="E60" s="1184"/>
      <c r="F60" s="1184"/>
      <c r="G60" s="1184"/>
      <c r="H60" s="1184"/>
      <c r="I60" s="1184"/>
      <c r="J60" s="1184"/>
      <c r="K60" s="1184"/>
      <c r="L60" s="1184"/>
      <c r="M60" s="1184"/>
      <c r="N60" s="1184"/>
      <c r="O60" s="1184" t="s">
        <v>1574</v>
      </c>
      <c r="P60" s="1184"/>
    </row>
    <row r="61" spans="1:16" ht="12.75" customHeight="1">
      <c r="A61" s="711" t="str">
        <f t="shared" si="0"/>
        <v>0913.00</v>
      </c>
      <c r="B61" s="58">
        <v>59</v>
      </c>
      <c r="C61" s="1184"/>
      <c r="D61" s="1184"/>
      <c r="E61" s="1184"/>
      <c r="F61" s="1184"/>
      <c r="G61" s="1184"/>
      <c r="H61" s="1184"/>
      <c r="I61" s="1184"/>
      <c r="J61" s="1184"/>
      <c r="K61" s="1184"/>
      <c r="L61" s="1184"/>
      <c r="M61" s="1184"/>
      <c r="N61" s="1184"/>
      <c r="O61" s="1184" t="s">
        <v>1529</v>
      </c>
      <c r="P61" s="1184"/>
    </row>
    <row r="62" spans="1:16" ht="12.75" customHeight="1">
      <c r="A62" s="711" t="str">
        <f t="shared" si="0"/>
        <v>0914.00</v>
      </c>
      <c r="B62" s="58">
        <v>60</v>
      </c>
      <c r="C62" s="1184"/>
      <c r="D62" s="1184"/>
      <c r="E62" s="1184"/>
      <c r="F62" s="1184"/>
      <c r="G62" s="1184"/>
      <c r="H62" s="1184"/>
      <c r="I62" s="1184"/>
      <c r="J62" s="1184"/>
      <c r="K62" s="1184"/>
      <c r="L62" s="1184"/>
      <c r="M62" s="1184"/>
      <c r="N62" s="1184"/>
      <c r="O62" s="1184" t="s">
        <v>1530</v>
      </c>
      <c r="P62" s="1184"/>
    </row>
    <row r="63" spans="1:16" ht="12.75" customHeight="1">
      <c r="A63" s="711" t="str">
        <f t="shared" si="0"/>
        <v>0915.00</v>
      </c>
      <c r="B63" s="58">
        <v>61</v>
      </c>
      <c r="C63" s="1184"/>
      <c r="D63" s="1184"/>
      <c r="E63" s="1184"/>
      <c r="F63" s="1184"/>
      <c r="G63" s="1184"/>
      <c r="H63" s="1184"/>
      <c r="I63" s="1184"/>
      <c r="J63" s="1184"/>
      <c r="K63" s="1184"/>
      <c r="L63" s="1184"/>
      <c r="M63" s="1184"/>
      <c r="N63" s="1184"/>
      <c r="O63" s="1184" t="s">
        <v>1531</v>
      </c>
      <c r="P63" s="1184"/>
    </row>
    <row r="64" spans="1:16" ht="12.75" customHeight="1">
      <c r="A64" s="711" t="str">
        <f t="shared" si="0"/>
        <v>0916.00</v>
      </c>
      <c r="B64" s="58">
        <v>62</v>
      </c>
      <c r="C64" s="1184"/>
      <c r="D64" s="1184"/>
      <c r="E64" s="1184"/>
      <c r="F64" s="1184"/>
      <c r="G64" s="1184"/>
      <c r="H64" s="1184"/>
      <c r="I64" s="1184"/>
      <c r="J64" s="1184"/>
      <c r="K64" s="1184"/>
      <c r="L64" s="1184"/>
      <c r="M64" s="1184"/>
      <c r="N64" s="1184"/>
      <c r="O64" s="1184" t="s">
        <v>1532</v>
      </c>
      <c r="P64" s="1184"/>
    </row>
    <row r="65" spans="1:18" ht="12.75" customHeight="1">
      <c r="A65" s="711" t="str">
        <f t="shared" si="0"/>
        <v>0917.00</v>
      </c>
      <c r="B65" s="58">
        <v>63</v>
      </c>
      <c r="C65" s="1184"/>
      <c r="D65" s="1184"/>
      <c r="E65" s="1184"/>
      <c r="F65" s="1184"/>
      <c r="G65" s="1184"/>
      <c r="H65" s="1184"/>
      <c r="I65" s="1184"/>
      <c r="J65" s="1184"/>
      <c r="K65" s="1184"/>
      <c r="L65" s="1184"/>
      <c r="M65" s="1184"/>
      <c r="N65" s="1184"/>
      <c r="O65" s="1184" t="s">
        <v>1533</v>
      </c>
      <c r="P65" s="1184"/>
    </row>
    <row r="66" spans="1:18" ht="12.75" customHeight="1">
      <c r="A66" s="711" t="str">
        <f t="shared" si="0"/>
        <v>0918.00</v>
      </c>
      <c r="B66" s="58">
        <v>64</v>
      </c>
      <c r="C66" s="1184"/>
      <c r="D66" s="1184"/>
      <c r="E66" s="1184"/>
      <c r="F66" s="1184"/>
      <c r="G66" s="1184"/>
      <c r="H66" s="1184"/>
      <c r="I66" s="1184"/>
      <c r="J66" s="1184"/>
      <c r="K66" s="1184"/>
      <c r="L66" s="1184"/>
      <c r="M66" s="1184"/>
      <c r="N66" s="1184"/>
      <c r="O66" s="1184" t="s">
        <v>1534</v>
      </c>
      <c r="P66" s="1184"/>
    </row>
    <row r="67" spans="1:18" ht="13.5" customHeight="1">
      <c r="A67" s="711" t="str">
        <f t="shared" si="0"/>
        <v>0919.00</v>
      </c>
      <c r="B67" s="58">
        <v>65</v>
      </c>
      <c r="C67" s="1184"/>
      <c r="D67" s="1184"/>
      <c r="E67" s="1184"/>
      <c r="F67" s="1184"/>
      <c r="G67" s="1184"/>
      <c r="H67" s="1184"/>
      <c r="I67" s="1184"/>
      <c r="J67" s="1184"/>
      <c r="K67" s="1184"/>
      <c r="L67" s="1184"/>
      <c r="M67" s="1184"/>
      <c r="N67" s="1184"/>
      <c r="O67" s="1184" t="s">
        <v>1535</v>
      </c>
      <c r="P67" s="1184"/>
    </row>
    <row r="68" spans="1:18" ht="12.75" customHeight="1">
      <c r="C68" s="1184"/>
      <c r="D68" s="1184"/>
      <c r="E68" s="1184"/>
      <c r="F68" s="1184"/>
      <c r="G68" s="1184"/>
      <c r="H68" s="1184"/>
      <c r="I68" s="1184"/>
      <c r="J68" s="1184"/>
      <c r="K68" s="1184"/>
      <c r="L68" s="1184"/>
      <c r="M68" s="1184"/>
      <c r="N68" s="1184"/>
      <c r="O68" s="1184" t="s">
        <v>1575</v>
      </c>
      <c r="P68" s="1184"/>
    </row>
    <row r="69" spans="1:18" ht="12.75" customHeight="1">
      <c r="C69" s="1184"/>
      <c r="D69" s="1184"/>
      <c r="E69" s="1184"/>
      <c r="F69" s="1184"/>
      <c r="G69" s="1184"/>
      <c r="H69" s="1184"/>
      <c r="I69" s="1184"/>
      <c r="J69" s="1184"/>
      <c r="K69" s="1184"/>
      <c r="L69" s="1184"/>
      <c r="M69" s="1184"/>
      <c r="N69" s="1184"/>
      <c r="O69" s="1184" t="s">
        <v>1576</v>
      </c>
      <c r="P69" s="1184"/>
      <c r="Q69" s="1019"/>
      <c r="R69" s="1019"/>
    </row>
    <row r="70" spans="1:18" ht="12.75" customHeight="1">
      <c r="C70" s="1184" t="s">
        <v>1577</v>
      </c>
      <c r="D70" s="1184"/>
      <c r="E70" s="1184"/>
      <c r="F70" s="1184"/>
      <c r="G70" s="1184"/>
      <c r="H70" s="1184"/>
      <c r="I70" s="1184"/>
      <c r="J70" s="1184"/>
      <c r="K70" s="1184"/>
      <c r="L70" s="1184"/>
      <c r="M70" s="1184"/>
      <c r="N70" s="1184"/>
      <c r="O70" s="1184" t="s">
        <v>1578</v>
      </c>
      <c r="P70" s="1184"/>
      <c r="Q70" s="1019"/>
      <c r="R70" s="1019"/>
    </row>
    <row r="71" spans="1:18" ht="12.75" customHeight="1">
      <c r="C71" s="1184"/>
      <c r="D71" s="1184"/>
      <c r="E71" s="1184"/>
      <c r="F71" s="1184"/>
      <c r="G71" s="1184"/>
      <c r="H71" s="1184"/>
      <c r="I71" s="1184"/>
      <c r="J71" s="1184"/>
      <c r="K71" s="1184"/>
      <c r="L71" s="1184"/>
      <c r="M71" s="1184"/>
      <c r="N71" s="1184"/>
      <c r="O71" s="1184" t="s">
        <v>1536</v>
      </c>
      <c r="P71" s="1184"/>
      <c r="Q71" s="1019"/>
      <c r="R71" s="1019"/>
    </row>
    <row r="72" spans="1:18" ht="12">
      <c r="C72" s="1184"/>
      <c r="D72" s="1184"/>
      <c r="E72" s="1184"/>
      <c r="F72" s="1184"/>
      <c r="G72" s="1184"/>
      <c r="H72" s="1184"/>
      <c r="I72" s="1184"/>
      <c r="J72" s="1184"/>
      <c r="K72" s="1184"/>
      <c r="L72" s="1184"/>
      <c r="M72" s="1184"/>
      <c r="N72" s="1184"/>
      <c r="O72" s="1184" t="s">
        <v>1537</v>
      </c>
      <c r="P72" s="1184"/>
      <c r="Q72" s="1019"/>
      <c r="R72" s="1019"/>
    </row>
    <row r="73" spans="1:18" ht="12">
      <c r="C73" s="1184"/>
      <c r="D73" s="1184"/>
      <c r="E73" s="1184"/>
      <c r="F73" s="1184"/>
      <c r="G73" s="1184"/>
      <c r="H73" s="1184"/>
      <c r="I73" s="1184"/>
      <c r="J73" s="1184"/>
      <c r="K73" s="1184"/>
      <c r="L73" s="1184"/>
      <c r="M73" s="1184"/>
      <c r="N73" s="1184"/>
      <c r="O73" s="1184" t="s">
        <v>1538</v>
      </c>
      <c r="P73" s="1184"/>
      <c r="Q73" s="1019"/>
      <c r="R73" s="1019"/>
    </row>
    <row r="74" spans="1:18" ht="12">
      <c r="C74" s="1184"/>
      <c r="D74" s="1184"/>
      <c r="E74" s="1184"/>
      <c r="F74" s="1184"/>
      <c r="G74" s="1184"/>
      <c r="H74" s="1184"/>
      <c r="I74" s="1184"/>
      <c r="J74" s="1184"/>
      <c r="K74" s="1184"/>
      <c r="L74" s="1184"/>
      <c r="M74" s="1184"/>
      <c r="N74" s="1184"/>
      <c r="O74" s="1184" t="s">
        <v>1539</v>
      </c>
      <c r="P74" s="1184"/>
      <c r="Q74" s="1019"/>
      <c r="R74" s="1019"/>
    </row>
    <row r="75" spans="1:18" ht="12">
      <c r="C75" s="1184"/>
      <c r="D75" s="1184"/>
      <c r="E75" s="1184"/>
      <c r="F75" s="1184"/>
      <c r="G75" s="1184"/>
      <c r="H75" s="1184"/>
      <c r="I75" s="1184"/>
      <c r="J75" s="1184"/>
      <c r="K75" s="1184"/>
      <c r="L75" s="1184"/>
      <c r="M75" s="1184"/>
      <c r="N75" s="1184"/>
      <c r="O75" s="1184" t="s">
        <v>1540</v>
      </c>
      <c r="P75" s="1184"/>
      <c r="Q75" s="1019"/>
      <c r="R75" s="1019"/>
    </row>
    <row r="76" spans="1:18" ht="12">
      <c r="C76" s="1184"/>
      <c r="D76" s="1184"/>
      <c r="E76" s="1184"/>
      <c r="F76" s="1184"/>
      <c r="G76" s="1184"/>
      <c r="H76" s="1184"/>
      <c r="I76" s="1184"/>
      <c r="J76" s="1184"/>
      <c r="K76" s="1184"/>
      <c r="L76" s="1184"/>
      <c r="M76" s="1184"/>
      <c r="N76" s="1184"/>
      <c r="O76" s="1184" t="s">
        <v>1541</v>
      </c>
      <c r="P76" s="1184"/>
      <c r="Q76" s="1019"/>
      <c r="R76" s="1019"/>
    </row>
    <row r="77" spans="1:18">
      <c r="C77" s="1184"/>
      <c r="D77" s="1184"/>
      <c r="E77" s="1184"/>
      <c r="F77" s="1184"/>
      <c r="G77" s="1184"/>
      <c r="H77" s="1184"/>
      <c r="I77" s="1184"/>
      <c r="J77" s="1184"/>
      <c r="K77" s="1184"/>
      <c r="L77" s="1184"/>
      <c r="M77" s="1184"/>
      <c r="N77" s="1184"/>
      <c r="O77" s="1184" t="s">
        <v>1579</v>
      </c>
      <c r="P77" s="1184"/>
    </row>
    <row r="78" spans="1:18">
      <c r="C78" s="1184"/>
      <c r="D78" s="1184"/>
      <c r="E78" s="1184"/>
      <c r="F78" s="1184"/>
      <c r="G78" s="1184"/>
      <c r="H78" s="1184"/>
      <c r="I78" s="1184"/>
      <c r="J78" s="1184"/>
      <c r="K78" s="1184"/>
      <c r="L78" s="1184"/>
      <c r="M78" s="1184"/>
      <c r="N78" s="1184"/>
      <c r="O78" s="1184" t="s">
        <v>1542</v>
      </c>
      <c r="P78" s="1184"/>
    </row>
    <row r="79" spans="1:18">
      <c r="C79" s="1184"/>
      <c r="D79" s="1184"/>
      <c r="E79" s="1184"/>
      <c r="F79" s="1184"/>
      <c r="G79" s="1184"/>
      <c r="H79" s="1184"/>
      <c r="I79" s="1184"/>
      <c r="J79" s="1184"/>
      <c r="K79" s="1184"/>
      <c r="L79" s="1184"/>
      <c r="M79" s="1184"/>
      <c r="N79" s="1184"/>
      <c r="O79" s="1184" t="s">
        <v>1580</v>
      </c>
      <c r="P79" s="1184"/>
    </row>
    <row r="80" spans="1:18">
      <c r="C80" s="1184"/>
      <c r="D80" s="1184"/>
      <c r="E80" s="1184"/>
      <c r="F80" s="1184"/>
      <c r="G80" s="1184"/>
      <c r="H80" s="1184"/>
      <c r="I80" s="1184"/>
      <c r="J80" s="1184"/>
      <c r="K80" s="1184"/>
      <c r="L80" s="1184"/>
      <c r="M80" s="1184"/>
      <c r="N80" s="1184"/>
      <c r="O80" s="1184" t="s">
        <v>1581</v>
      </c>
      <c r="P80" s="1184"/>
    </row>
    <row r="81" spans="3:16">
      <c r="C81" s="1184"/>
      <c r="D81" s="1184"/>
      <c r="E81" s="1184"/>
      <c r="F81" s="1184"/>
      <c r="G81" s="1184"/>
      <c r="H81" s="1184"/>
      <c r="I81" s="1184"/>
      <c r="J81" s="1184"/>
      <c r="K81" s="1184"/>
      <c r="L81" s="1184"/>
      <c r="M81" s="1184"/>
      <c r="N81" s="1184"/>
      <c r="O81" s="1184" t="s">
        <v>1582</v>
      </c>
      <c r="P81" s="1184"/>
    </row>
    <row r="82" spans="3:16">
      <c r="C82" s="1184"/>
      <c r="D82" s="1184"/>
      <c r="E82" s="1184"/>
      <c r="F82" s="1184"/>
      <c r="G82" s="1184"/>
      <c r="H82" s="1184"/>
      <c r="I82" s="1184"/>
      <c r="J82" s="1184"/>
      <c r="K82" s="1184"/>
      <c r="L82" s="1184"/>
      <c r="M82" s="1184"/>
      <c r="N82" s="1184"/>
      <c r="O82" s="1184" t="s">
        <v>1583</v>
      </c>
      <c r="P82" s="1184"/>
    </row>
    <row r="83" spans="3:16" ht="12.75">
      <c r="C83" s="55"/>
      <c r="O83" t="s">
        <v>1584</v>
      </c>
    </row>
    <row r="84" spans="3:16" ht="12.75">
      <c r="C84" s="55"/>
      <c r="O84" t="s">
        <v>1543</v>
      </c>
    </row>
    <row r="85" spans="3:16" ht="12.75">
      <c r="C85" s="55"/>
      <c r="O85" t="s">
        <v>1544</v>
      </c>
    </row>
    <row r="86" spans="3:16" ht="12.75">
      <c r="C86" s="55"/>
      <c r="O86" t="s">
        <v>1585</v>
      </c>
    </row>
    <row r="87" spans="3:16" ht="12.75">
      <c r="C87" s="55"/>
      <c r="O87" t="s">
        <v>1586</v>
      </c>
    </row>
    <row r="88" spans="3:16" ht="12.75">
      <c r="C88" s="55"/>
      <c r="O88" t="s">
        <v>1587</v>
      </c>
    </row>
    <row r="89" spans="3:16" ht="12.75">
      <c r="C89" s="55"/>
      <c r="O89" t="s">
        <v>1588</v>
      </c>
    </row>
    <row r="90" spans="3:16" ht="12.75">
      <c r="C90" s="55"/>
      <c r="O90" t="s">
        <v>1589</v>
      </c>
    </row>
    <row r="91" spans="3:16" ht="12.75">
      <c r="C91" s="55"/>
      <c r="O91" t="s">
        <v>1590</v>
      </c>
    </row>
    <row r="92" spans="3:16" ht="12.75">
      <c r="C92" s="55"/>
      <c r="O92" t="s">
        <v>1591</v>
      </c>
    </row>
    <row r="93" spans="3:16" ht="12.75">
      <c r="C93" s="55"/>
      <c r="O93" t="s">
        <v>1592</v>
      </c>
    </row>
    <row r="94" spans="3:16" ht="12.75">
      <c r="C94" s="55"/>
      <c r="O94" t="s">
        <v>1593</v>
      </c>
    </row>
    <row r="95" spans="3:16" ht="12.75">
      <c r="C95" s="55"/>
      <c r="O95" t="s">
        <v>1594</v>
      </c>
    </row>
    <row r="96" spans="3:16" ht="12.75">
      <c r="C96" s="55"/>
      <c r="O96" t="s">
        <v>1595</v>
      </c>
    </row>
    <row r="97" spans="3:16" ht="12.75">
      <c r="C97" s="55"/>
    </row>
    <row r="98" spans="3:16" ht="12.75">
      <c r="C98" s="55"/>
    </row>
    <row r="99" spans="3:16" ht="12.75">
      <c r="C99" s="55"/>
    </row>
    <row r="100" spans="3:16" ht="12.75">
      <c r="C100" s="55"/>
    </row>
    <row r="101" spans="3:16" ht="12.75">
      <c r="C101" s="55"/>
    </row>
    <row r="102" spans="3:16">
      <c r="C102" s="1135"/>
      <c r="D102" s="1135"/>
      <c r="E102" s="1135"/>
      <c r="F102" s="1135"/>
      <c r="G102" s="1135"/>
      <c r="H102" s="1135"/>
      <c r="I102" s="1135"/>
      <c r="J102" s="1135"/>
      <c r="K102" s="1135"/>
      <c r="L102" s="1135"/>
      <c r="M102" s="1135"/>
      <c r="N102" s="1135"/>
      <c r="O102" s="1135"/>
      <c r="P102" s="1135"/>
    </row>
    <row r="103" spans="3:16">
      <c r="C103" s="1135"/>
      <c r="D103" s="1135"/>
      <c r="E103" s="1135"/>
      <c r="F103" s="1135"/>
      <c r="G103" s="1135"/>
      <c r="H103" s="1135"/>
      <c r="I103" s="1135"/>
      <c r="J103" s="1135"/>
      <c r="K103" s="1135"/>
      <c r="L103" s="1135"/>
      <c r="M103" s="1135"/>
      <c r="N103" s="1135"/>
      <c r="O103" s="1135"/>
      <c r="P103" s="1135"/>
    </row>
    <row r="104" spans="3:16">
      <c r="C104" s="1135"/>
      <c r="D104" s="1135"/>
      <c r="E104" s="1135"/>
      <c r="F104" s="1135"/>
      <c r="G104" s="1135"/>
      <c r="H104" s="1135"/>
      <c r="I104" s="1135"/>
      <c r="J104" s="1135"/>
      <c r="K104" s="1135"/>
      <c r="L104" s="1135"/>
      <c r="M104" s="1135"/>
      <c r="N104" s="1135"/>
      <c r="O104" s="1135"/>
      <c r="P104" s="1135"/>
    </row>
    <row r="105" spans="3:16">
      <c r="C105" s="1135"/>
      <c r="D105" s="1135"/>
      <c r="E105" s="1135"/>
      <c r="F105" s="1135"/>
      <c r="G105" s="1135"/>
      <c r="H105" s="1135"/>
      <c r="I105" s="1135"/>
      <c r="J105" s="1135"/>
      <c r="K105" s="1135"/>
      <c r="L105" s="1135"/>
      <c r="M105" s="1135"/>
      <c r="N105" s="1135"/>
      <c r="O105" s="1135"/>
      <c r="P105" s="1135"/>
    </row>
    <row r="106" spans="3:16">
      <c r="C106" s="1135"/>
      <c r="D106" s="1135"/>
      <c r="E106" s="1135"/>
      <c r="F106" s="1135"/>
      <c r="G106" s="1135"/>
      <c r="H106" s="1135"/>
      <c r="I106" s="1135"/>
      <c r="J106" s="1135"/>
      <c r="K106" s="1135"/>
      <c r="L106" s="1135"/>
      <c r="M106" s="1135"/>
      <c r="N106" s="1135"/>
      <c r="O106" s="1135"/>
      <c r="P106" s="1135"/>
    </row>
    <row r="107" spans="3:16">
      <c r="C107" s="1135"/>
      <c r="D107" s="1135"/>
      <c r="E107" s="1135"/>
      <c r="F107" s="1135"/>
      <c r="G107" s="1135"/>
      <c r="H107" s="1135"/>
      <c r="I107" s="1135"/>
      <c r="J107" s="1135"/>
      <c r="K107" s="1135"/>
      <c r="L107" s="1135"/>
      <c r="M107" s="1135"/>
      <c r="N107" s="1135"/>
      <c r="O107" s="1135"/>
      <c r="P107" s="1135"/>
    </row>
    <row r="108" spans="3:16">
      <c r="C108" s="1135"/>
      <c r="D108" s="1135"/>
      <c r="E108" s="1135"/>
      <c r="F108" s="1135"/>
      <c r="G108" s="1135"/>
      <c r="H108" s="1135"/>
      <c r="I108" s="1135"/>
      <c r="J108" s="1135"/>
      <c r="K108" s="1135"/>
      <c r="L108" s="1135"/>
      <c r="M108" s="1135"/>
      <c r="N108" s="1135"/>
      <c r="O108" s="1135"/>
      <c r="P108" s="1135"/>
    </row>
    <row r="109" spans="3:16">
      <c r="C109" s="1135"/>
      <c r="D109" s="1135"/>
      <c r="E109" s="1135"/>
      <c r="F109" s="1135"/>
      <c r="G109" s="1135"/>
      <c r="H109" s="1135"/>
      <c r="I109" s="1135"/>
      <c r="J109" s="1135"/>
      <c r="K109" s="1135"/>
      <c r="L109" s="1135"/>
      <c r="M109" s="1135"/>
      <c r="N109" s="1135"/>
      <c r="O109" s="1135"/>
      <c r="P109" s="1135"/>
    </row>
    <row r="110" spans="3:16">
      <c r="C110" s="1135"/>
      <c r="D110" s="1135"/>
      <c r="E110" s="1135"/>
      <c r="F110" s="1135"/>
      <c r="G110" s="1135"/>
      <c r="H110" s="1135"/>
      <c r="I110" s="1135"/>
      <c r="J110" s="1135"/>
      <c r="K110" s="1135"/>
      <c r="L110" s="1135"/>
      <c r="M110" s="1135"/>
      <c r="N110" s="1135"/>
      <c r="O110" s="1135"/>
      <c r="P110" s="1135"/>
    </row>
    <row r="111" spans="3:16">
      <c r="C111" s="1135"/>
      <c r="D111" s="1135"/>
      <c r="E111" s="1135"/>
      <c r="F111" s="1135"/>
      <c r="G111" s="1135"/>
      <c r="H111" s="1135"/>
      <c r="I111" s="1135"/>
      <c r="J111" s="1135"/>
      <c r="K111" s="1135"/>
      <c r="L111" s="1135"/>
      <c r="M111" s="1135"/>
      <c r="N111" s="1135"/>
      <c r="O111" s="1135"/>
      <c r="P111" s="1135"/>
    </row>
    <row r="112" spans="3:16">
      <c r="C112" s="1135"/>
      <c r="D112" s="1135"/>
      <c r="E112" s="1135"/>
      <c r="F112" s="1135"/>
      <c r="G112" s="1135"/>
      <c r="H112" s="1135"/>
      <c r="I112" s="1135"/>
      <c r="J112" s="1135"/>
      <c r="K112" s="1135"/>
      <c r="L112" s="1135"/>
      <c r="M112" s="1135"/>
      <c r="N112" s="1135"/>
      <c r="O112" s="1135"/>
      <c r="P112" s="1135"/>
    </row>
    <row r="113" spans="3:16">
      <c r="C113" s="1135"/>
      <c r="D113" s="1135"/>
      <c r="E113" s="1135"/>
      <c r="F113" s="1135"/>
      <c r="G113" s="1135"/>
      <c r="H113" s="1135"/>
      <c r="I113" s="1135"/>
      <c r="J113" s="1135"/>
      <c r="K113" s="1135"/>
      <c r="L113" s="1135"/>
      <c r="M113" s="1135"/>
      <c r="N113" s="1135"/>
      <c r="O113" s="1135"/>
      <c r="P113" s="1135"/>
    </row>
    <row r="114" spans="3:16">
      <c r="C114" s="1135"/>
      <c r="D114" s="1135"/>
      <c r="E114" s="1135"/>
      <c r="F114" s="1135"/>
      <c r="G114" s="1135"/>
      <c r="H114" s="1135"/>
      <c r="I114" s="1135"/>
      <c r="J114" s="1135"/>
      <c r="K114" s="1135"/>
      <c r="L114" s="1135"/>
      <c r="M114" s="1135"/>
      <c r="N114" s="1135"/>
      <c r="O114" s="1135"/>
      <c r="P114" s="1135"/>
    </row>
    <row r="115" spans="3:16">
      <c r="C115" s="1135"/>
      <c r="D115" s="1135"/>
      <c r="E115" s="1135"/>
      <c r="F115" s="1135"/>
      <c r="G115" s="1135"/>
      <c r="H115" s="1135"/>
      <c r="I115" s="1135"/>
      <c r="J115" s="1135"/>
      <c r="K115" s="1135"/>
      <c r="L115" s="1135"/>
      <c r="M115" s="1135"/>
      <c r="N115" s="1135"/>
      <c r="O115" s="1135"/>
      <c r="P115" s="1135"/>
    </row>
    <row r="116" spans="3:16">
      <c r="C116" s="1135"/>
      <c r="D116" s="1135"/>
      <c r="E116" s="1135"/>
      <c r="F116" s="1135"/>
      <c r="G116" s="1135"/>
      <c r="H116" s="1135"/>
      <c r="I116" s="1135"/>
      <c r="J116" s="1135"/>
      <c r="K116" s="1135"/>
      <c r="L116" s="1135"/>
      <c r="M116" s="1135"/>
      <c r="N116" s="1135"/>
      <c r="O116" s="1135"/>
      <c r="P116" s="1135"/>
    </row>
    <row r="117" spans="3:16">
      <c r="C117" s="1135"/>
      <c r="D117" s="1135"/>
      <c r="E117" s="1135"/>
      <c r="F117" s="1135"/>
      <c r="G117" s="1135"/>
      <c r="H117" s="1135"/>
      <c r="I117" s="1135"/>
      <c r="J117" s="1135"/>
      <c r="K117" s="1135"/>
      <c r="L117" s="1135"/>
      <c r="M117" s="1135"/>
      <c r="N117" s="1135"/>
      <c r="O117" s="1135"/>
      <c r="P117" s="1135"/>
    </row>
    <row r="118" spans="3:16">
      <c r="C118" s="1135"/>
      <c r="D118" s="1135"/>
      <c r="E118" s="1135"/>
      <c r="F118" s="1135"/>
      <c r="G118" s="1135"/>
      <c r="H118" s="1135"/>
      <c r="I118" s="1135"/>
      <c r="J118" s="1135"/>
      <c r="K118" s="1135"/>
      <c r="L118" s="1135"/>
      <c r="M118" s="1135"/>
      <c r="N118" s="1135"/>
      <c r="O118" s="1135"/>
      <c r="P118" s="1135"/>
    </row>
    <row r="119" spans="3:16">
      <c r="C119" s="1135"/>
      <c r="D119" s="1135"/>
      <c r="E119" s="1135"/>
      <c r="F119" s="1135"/>
      <c r="G119" s="1135"/>
      <c r="H119" s="1135"/>
      <c r="I119" s="1135"/>
      <c r="J119" s="1135"/>
      <c r="K119" s="1135"/>
      <c r="L119" s="1135"/>
      <c r="M119" s="1135"/>
      <c r="N119" s="1135"/>
      <c r="O119" s="1135"/>
      <c r="P119" s="1135"/>
    </row>
    <row r="120" spans="3:16">
      <c r="C120" s="1135"/>
      <c r="D120" s="1135"/>
      <c r="E120" s="1135"/>
      <c r="F120" s="1135"/>
      <c r="G120" s="1135"/>
      <c r="H120" s="1135"/>
      <c r="I120" s="1135"/>
      <c r="J120" s="1135"/>
      <c r="K120" s="1135"/>
      <c r="L120" s="1135"/>
      <c r="M120" s="1135"/>
      <c r="N120" s="1135"/>
      <c r="O120" s="1135"/>
      <c r="P120" s="1135"/>
    </row>
    <row r="121" spans="3:16">
      <c r="C121" s="1135"/>
      <c r="D121" s="1135"/>
      <c r="E121" s="1135"/>
      <c r="F121" s="1135"/>
      <c r="G121" s="1135"/>
      <c r="H121" s="1135"/>
      <c r="I121" s="1135"/>
      <c r="J121" s="1135"/>
      <c r="K121" s="1135"/>
      <c r="L121" s="1135"/>
      <c r="M121" s="1135"/>
      <c r="N121" s="1135"/>
      <c r="O121" s="1135"/>
      <c r="P121" s="1135"/>
    </row>
    <row r="122" spans="3:16">
      <c r="C122" s="1135"/>
      <c r="D122" s="1135"/>
      <c r="E122" s="1135"/>
      <c r="F122" s="1135"/>
      <c r="G122" s="1135"/>
      <c r="H122" s="1135"/>
      <c r="I122" s="1135"/>
      <c r="J122" s="1135"/>
      <c r="K122" s="1135"/>
      <c r="L122" s="1135"/>
      <c r="M122" s="1135"/>
      <c r="N122" s="1135"/>
      <c r="O122" s="1135"/>
      <c r="P122" s="1135"/>
    </row>
    <row r="123" spans="3:16">
      <c r="C123" s="1135"/>
      <c r="D123" s="1135"/>
      <c r="E123" s="1135"/>
      <c r="F123" s="1135"/>
      <c r="G123" s="1135"/>
      <c r="H123" s="1135"/>
      <c r="I123" s="1135"/>
      <c r="J123" s="1135"/>
      <c r="K123" s="1135"/>
      <c r="L123" s="1135"/>
      <c r="M123" s="1135"/>
      <c r="N123" s="1135"/>
      <c r="O123" s="1135"/>
      <c r="P123" s="1135"/>
    </row>
    <row r="124" spans="3:16">
      <c r="C124" s="1135"/>
      <c r="D124" s="1135"/>
      <c r="E124" s="1135"/>
      <c r="F124" s="1135"/>
      <c r="G124" s="1135"/>
      <c r="H124" s="1135"/>
      <c r="I124" s="1135"/>
      <c r="J124" s="1135"/>
      <c r="K124" s="1135"/>
      <c r="L124" s="1135"/>
      <c r="M124" s="1135"/>
      <c r="N124" s="1135"/>
      <c r="O124" s="1135"/>
      <c r="P124" s="1135"/>
    </row>
    <row r="125" spans="3:16">
      <c r="C125" s="1135"/>
      <c r="D125" s="1135"/>
      <c r="E125" s="1135"/>
      <c r="F125" s="1135"/>
      <c r="G125" s="1135"/>
      <c r="H125" s="1135"/>
      <c r="I125" s="1135"/>
      <c r="J125" s="1135"/>
      <c r="K125" s="1135"/>
      <c r="L125" s="1135"/>
      <c r="M125" s="1135"/>
      <c r="N125" s="1135"/>
      <c r="O125" s="1135"/>
      <c r="P125" s="1135"/>
    </row>
    <row r="126" spans="3:16">
      <c r="C126" s="1135"/>
      <c r="D126" s="1135"/>
      <c r="E126" s="1135"/>
      <c r="F126" s="1135"/>
      <c r="G126" s="1135"/>
      <c r="H126" s="1135"/>
      <c r="I126" s="1135"/>
      <c r="J126" s="1135"/>
      <c r="K126" s="1135"/>
      <c r="L126" s="1135"/>
      <c r="M126" s="1135"/>
      <c r="N126" s="1135"/>
      <c r="O126" s="1135"/>
      <c r="P126" s="1135"/>
    </row>
    <row r="127" spans="3:16">
      <c r="C127" s="1135"/>
      <c r="D127" s="1135"/>
      <c r="E127" s="1135"/>
      <c r="F127" s="1135"/>
      <c r="G127" s="1135"/>
      <c r="H127" s="1135"/>
      <c r="I127" s="1135"/>
      <c r="J127" s="1135"/>
      <c r="K127" s="1135"/>
      <c r="L127" s="1135"/>
      <c r="M127" s="1135"/>
      <c r="N127" s="1135"/>
      <c r="O127" s="1135"/>
      <c r="P127" s="1135"/>
    </row>
    <row r="128" spans="3:16">
      <c r="C128" s="1135"/>
      <c r="D128" s="1135"/>
      <c r="E128" s="1135"/>
      <c r="F128" s="1135"/>
      <c r="G128" s="1135"/>
      <c r="H128" s="1135"/>
      <c r="I128" s="1135"/>
      <c r="J128" s="1135"/>
      <c r="K128" s="1135"/>
      <c r="L128" s="1135"/>
      <c r="M128" s="1135"/>
      <c r="N128" s="1135"/>
      <c r="O128" s="1135"/>
      <c r="P128" s="1135"/>
    </row>
    <row r="129" spans="3:16">
      <c r="C129" s="1135"/>
      <c r="D129" s="1135"/>
      <c r="E129" s="1135"/>
      <c r="F129" s="1135"/>
      <c r="G129" s="1135"/>
      <c r="H129" s="1135"/>
      <c r="I129" s="1135"/>
      <c r="J129" s="1135"/>
      <c r="K129" s="1135"/>
      <c r="L129" s="1135"/>
      <c r="M129" s="1135"/>
      <c r="N129" s="1135"/>
      <c r="O129" s="1135"/>
      <c r="P129" s="1135"/>
    </row>
    <row r="130" spans="3:16">
      <c r="C130" s="1135"/>
      <c r="D130" s="1135"/>
      <c r="E130" s="1135"/>
      <c r="F130" s="1135"/>
      <c r="G130" s="1135"/>
      <c r="H130" s="1135"/>
      <c r="I130" s="1135"/>
      <c r="J130" s="1135"/>
      <c r="K130" s="1135"/>
      <c r="L130" s="1135"/>
      <c r="M130" s="1135"/>
      <c r="N130" s="1135"/>
      <c r="O130" s="1135"/>
      <c r="P130" s="1135"/>
    </row>
    <row r="131" spans="3:16">
      <c r="C131" s="1135"/>
      <c r="D131" s="1135"/>
      <c r="E131" s="1135"/>
      <c r="F131" s="1135"/>
      <c r="G131" s="1135"/>
      <c r="H131" s="1135"/>
      <c r="I131" s="1135"/>
      <c r="J131" s="1135"/>
      <c r="K131" s="1135"/>
      <c r="L131" s="1135"/>
      <c r="M131" s="1135"/>
      <c r="N131" s="1135"/>
      <c r="O131" s="1135"/>
      <c r="P131" s="1135"/>
    </row>
    <row r="132" spans="3:16">
      <c r="C132" s="1135"/>
      <c r="D132" s="1135"/>
      <c r="E132" s="1135"/>
      <c r="F132" s="1135"/>
      <c r="G132" s="1135"/>
      <c r="H132" s="1135"/>
      <c r="I132" s="1135"/>
      <c r="J132" s="1135"/>
      <c r="K132" s="1135"/>
      <c r="L132" s="1135"/>
      <c r="M132" s="1135"/>
      <c r="N132" s="1135"/>
      <c r="O132" s="1135"/>
      <c r="P132" s="1135"/>
    </row>
    <row r="133" spans="3:16">
      <c r="C133" s="1135"/>
      <c r="D133" s="1135"/>
      <c r="E133" s="1135"/>
      <c r="F133" s="1135"/>
      <c r="G133" s="1135"/>
      <c r="H133" s="1135"/>
      <c r="I133" s="1135"/>
      <c r="J133" s="1135"/>
      <c r="K133" s="1135"/>
      <c r="L133" s="1135"/>
      <c r="M133" s="1135"/>
      <c r="N133" s="1135"/>
      <c r="O133" s="1135"/>
      <c r="P133" s="1135"/>
    </row>
    <row r="134" spans="3:16">
      <c r="C134" s="1135"/>
      <c r="D134" s="1135"/>
      <c r="E134" s="1135"/>
      <c r="F134" s="1135"/>
      <c r="G134" s="1135"/>
      <c r="H134" s="1135"/>
      <c r="I134" s="1135"/>
      <c r="J134" s="1135"/>
      <c r="K134" s="1135"/>
      <c r="L134" s="1135"/>
      <c r="M134" s="1135"/>
      <c r="N134" s="1135"/>
      <c r="O134" s="1135"/>
      <c r="P134" s="1135"/>
    </row>
    <row r="135" spans="3:16">
      <c r="C135" s="1135"/>
      <c r="D135" s="1135"/>
      <c r="E135" s="1135"/>
      <c r="F135" s="1135"/>
      <c r="G135" s="1135"/>
      <c r="H135" s="1135"/>
      <c r="I135" s="1135"/>
      <c r="J135" s="1135"/>
      <c r="K135" s="1135"/>
      <c r="L135" s="1135"/>
      <c r="M135" s="1135"/>
      <c r="N135" s="1135"/>
      <c r="O135" s="1135"/>
      <c r="P135" s="1135"/>
    </row>
    <row r="136" spans="3:16">
      <c r="C136" s="1135"/>
      <c r="D136" s="1135"/>
      <c r="E136" s="1135"/>
      <c r="F136" s="1135"/>
      <c r="G136" s="1135"/>
      <c r="H136" s="1135"/>
      <c r="I136" s="1135"/>
      <c r="J136" s="1135"/>
      <c r="K136" s="1135"/>
      <c r="L136" s="1135"/>
      <c r="M136" s="1135"/>
      <c r="N136" s="1135"/>
      <c r="O136" s="1135"/>
      <c r="P136" s="1135"/>
    </row>
    <row r="137" spans="3:16">
      <c r="C137" s="1135"/>
      <c r="D137" s="1135"/>
      <c r="E137" s="1135"/>
      <c r="F137" s="1135"/>
      <c r="G137" s="1135"/>
      <c r="H137" s="1135"/>
      <c r="I137" s="1135"/>
      <c r="J137" s="1135"/>
      <c r="K137" s="1135"/>
      <c r="L137" s="1135"/>
      <c r="M137" s="1135"/>
      <c r="N137" s="1135"/>
      <c r="O137" s="1135"/>
      <c r="P137" s="1135"/>
    </row>
    <row r="138" spans="3:16">
      <c r="C138" s="1135"/>
      <c r="D138" s="1135"/>
      <c r="E138" s="1135"/>
      <c r="F138" s="1135"/>
      <c r="G138" s="1135"/>
      <c r="H138" s="1135"/>
      <c r="I138" s="1135"/>
      <c r="J138" s="1135"/>
      <c r="K138" s="1135"/>
      <c r="L138" s="1135"/>
      <c r="M138" s="1135"/>
      <c r="N138" s="1135"/>
      <c r="O138" s="1135"/>
      <c r="P138" s="1135"/>
    </row>
    <row r="139" spans="3:16">
      <c r="C139" s="1135"/>
      <c r="D139" s="1135"/>
      <c r="E139" s="1135"/>
      <c r="F139" s="1135"/>
      <c r="G139" s="1135"/>
      <c r="H139" s="1135"/>
      <c r="I139" s="1135"/>
      <c r="J139" s="1135"/>
      <c r="K139" s="1135"/>
      <c r="L139" s="1135"/>
      <c r="M139" s="1135"/>
      <c r="N139" s="1135"/>
      <c r="O139" s="1135"/>
      <c r="P139" s="1135"/>
    </row>
    <row r="140" spans="3:16">
      <c r="C140" s="1135"/>
      <c r="D140" s="1135"/>
      <c r="E140" s="1135"/>
      <c r="F140" s="1135"/>
      <c r="G140" s="1135"/>
      <c r="H140" s="1135"/>
      <c r="I140" s="1135"/>
      <c r="J140" s="1135"/>
      <c r="K140" s="1135"/>
      <c r="L140" s="1135"/>
      <c r="M140" s="1135"/>
      <c r="N140" s="1135"/>
      <c r="O140" s="1135"/>
      <c r="P140" s="1135"/>
    </row>
    <row r="141" spans="3:16">
      <c r="C141" s="1135"/>
      <c r="D141" s="1135"/>
      <c r="E141" s="1135"/>
      <c r="F141" s="1135"/>
      <c r="G141" s="1135"/>
      <c r="H141" s="1135"/>
      <c r="I141" s="1135"/>
      <c r="J141" s="1135"/>
      <c r="K141" s="1135"/>
      <c r="L141" s="1135"/>
      <c r="M141" s="1135"/>
      <c r="N141" s="1135"/>
      <c r="O141" s="1135"/>
      <c r="P141" s="1135"/>
    </row>
    <row r="142" spans="3:16">
      <c r="C142" s="1135"/>
      <c r="D142" s="1135"/>
      <c r="E142" s="1135"/>
      <c r="F142" s="1135"/>
      <c r="G142" s="1135"/>
      <c r="H142" s="1135"/>
      <c r="I142" s="1135"/>
      <c r="J142" s="1135"/>
      <c r="K142" s="1135"/>
      <c r="L142" s="1135"/>
      <c r="M142" s="1135"/>
      <c r="N142" s="1135"/>
      <c r="O142" s="1135"/>
      <c r="P142" s="1135"/>
    </row>
    <row r="143" spans="3:16">
      <c r="C143" s="1135"/>
      <c r="D143" s="1135"/>
      <c r="E143" s="1135"/>
      <c r="F143" s="1135"/>
      <c r="G143" s="1135"/>
      <c r="H143" s="1135"/>
      <c r="I143" s="1135"/>
      <c r="J143" s="1135"/>
      <c r="K143" s="1135"/>
      <c r="L143" s="1135"/>
      <c r="M143" s="1135"/>
      <c r="N143" s="1135"/>
      <c r="O143" s="1135"/>
      <c r="P143" s="1135"/>
    </row>
    <row r="144" spans="3:16">
      <c r="C144" s="1135"/>
      <c r="D144" s="1135"/>
      <c r="E144" s="1135"/>
      <c r="F144" s="1135"/>
      <c r="G144" s="1135"/>
      <c r="H144" s="1135"/>
      <c r="I144" s="1135"/>
      <c r="J144" s="1135"/>
      <c r="K144" s="1135"/>
      <c r="L144" s="1135"/>
      <c r="M144" s="1135"/>
      <c r="N144" s="1135"/>
      <c r="O144" s="1135"/>
      <c r="P144" s="1135"/>
    </row>
    <row r="145" spans="3:16">
      <c r="C145" s="1135"/>
      <c r="D145" s="1135"/>
      <c r="E145" s="1135"/>
      <c r="F145" s="1135"/>
      <c r="G145" s="1135"/>
      <c r="H145" s="1135"/>
      <c r="I145" s="1135"/>
      <c r="J145" s="1135"/>
      <c r="K145" s="1135"/>
      <c r="L145" s="1135"/>
      <c r="M145" s="1135"/>
      <c r="N145" s="1135"/>
      <c r="O145" s="1135"/>
      <c r="P145" s="1135"/>
    </row>
    <row r="146" spans="3:16">
      <c r="C146" s="1135"/>
      <c r="D146" s="1135"/>
      <c r="E146" s="1135"/>
      <c r="F146" s="1135"/>
      <c r="G146" s="1135"/>
      <c r="H146" s="1135"/>
      <c r="I146" s="1135"/>
      <c r="J146" s="1135"/>
      <c r="K146" s="1135"/>
      <c r="L146" s="1135"/>
      <c r="M146" s="1135"/>
      <c r="N146" s="1135"/>
      <c r="O146" s="1135"/>
      <c r="P146" s="1135"/>
    </row>
    <row r="147" spans="3:16">
      <c r="C147" s="1135"/>
      <c r="D147" s="1135"/>
      <c r="E147" s="1135"/>
      <c r="F147" s="1135"/>
      <c r="G147" s="1135"/>
      <c r="H147" s="1135"/>
      <c r="I147" s="1135"/>
      <c r="J147" s="1135"/>
      <c r="K147" s="1135"/>
      <c r="L147" s="1135"/>
      <c r="M147" s="1135"/>
      <c r="N147" s="1135"/>
      <c r="O147" s="1135"/>
      <c r="P147" s="1135"/>
    </row>
    <row r="148" spans="3:16">
      <c r="C148" s="1135"/>
      <c r="D148" s="1135"/>
      <c r="E148" s="1135"/>
      <c r="F148" s="1135"/>
      <c r="G148" s="1135"/>
      <c r="H148" s="1135"/>
      <c r="I148" s="1135"/>
      <c r="J148" s="1135"/>
      <c r="K148" s="1135"/>
      <c r="L148" s="1135"/>
      <c r="M148" s="1135"/>
      <c r="N148" s="1135"/>
      <c r="O148" s="1135"/>
      <c r="P148" s="1135"/>
    </row>
    <row r="149" spans="3:16">
      <c r="C149" s="1135"/>
      <c r="D149" s="1135"/>
      <c r="E149" s="1135"/>
      <c r="F149" s="1135"/>
      <c r="G149" s="1135"/>
      <c r="H149" s="1135"/>
      <c r="I149" s="1135"/>
      <c r="J149" s="1135"/>
      <c r="K149" s="1135"/>
      <c r="L149" s="1135"/>
      <c r="M149" s="1135"/>
      <c r="N149" s="1135"/>
      <c r="O149" s="1135"/>
      <c r="P149" s="1135"/>
    </row>
    <row r="150" spans="3:16">
      <c r="C150" s="1135"/>
      <c r="D150" s="1135"/>
      <c r="E150" s="1135"/>
      <c r="F150" s="1135"/>
      <c r="G150" s="1135"/>
      <c r="H150" s="1135"/>
      <c r="I150" s="1135"/>
      <c r="J150" s="1135"/>
      <c r="K150" s="1135"/>
      <c r="L150" s="1135"/>
      <c r="M150" s="1135"/>
      <c r="N150" s="1135"/>
      <c r="O150" s="1135"/>
      <c r="P150" s="1135"/>
    </row>
    <row r="151" spans="3:16">
      <c r="C151" s="1135"/>
      <c r="D151" s="1135"/>
      <c r="E151" s="1135"/>
      <c r="F151" s="1135"/>
      <c r="G151" s="1135"/>
      <c r="H151" s="1135"/>
      <c r="I151" s="1135"/>
      <c r="J151" s="1135"/>
      <c r="K151" s="1135"/>
      <c r="L151" s="1135"/>
      <c r="M151" s="1135"/>
      <c r="N151" s="1135"/>
      <c r="O151" s="1135"/>
      <c r="P151" s="1135"/>
    </row>
    <row r="152" spans="3:16">
      <c r="C152" s="1135"/>
      <c r="D152" s="1135"/>
      <c r="E152" s="1135"/>
      <c r="F152" s="1135"/>
      <c r="G152" s="1135"/>
      <c r="H152" s="1135"/>
      <c r="I152" s="1135"/>
      <c r="J152" s="1135"/>
      <c r="K152" s="1135"/>
      <c r="L152" s="1135"/>
      <c r="M152" s="1135"/>
      <c r="N152" s="1135"/>
      <c r="O152" s="1135"/>
      <c r="P152" s="1135"/>
    </row>
    <row r="153" spans="3:16">
      <c r="C153" s="1135"/>
      <c r="D153" s="1135"/>
      <c r="E153" s="1135"/>
      <c r="F153" s="1135"/>
      <c r="G153" s="1135"/>
      <c r="H153" s="1135"/>
      <c r="I153" s="1135"/>
      <c r="J153" s="1135"/>
      <c r="K153" s="1135"/>
      <c r="L153" s="1135"/>
      <c r="M153" s="1135"/>
      <c r="N153" s="1135"/>
      <c r="O153" s="1135"/>
      <c r="P153" s="1135"/>
    </row>
    <row r="154" spans="3:16">
      <c r="C154" s="1135"/>
      <c r="D154" s="1135"/>
      <c r="E154" s="1135"/>
      <c r="F154" s="1135"/>
      <c r="G154" s="1135"/>
      <c r="H154" s="1135"/>
      <c r="I154" s="1135"/>
      <c r="J154" s="1135"/>
      <c r="K154" s="1135"/>
      <c r="L154" s="1135"/>
      <c r="M154" s="1135"/>
      <c r="N154" s="1135"/>
      <c r="O154" s="1135"/>
      <c r="P154" s="1135"/>
    </row>
    <row r="155" spans="3:16">
      <c r="C155" s="1135"/>
      <c r="D155" s="1135"/>
      <c r="E155" s="1135"/>
      <c r="F155" s="1135"/>
      <c r="G155" s="1135"/>
      <c r="H155" s="1135"/>
      <c r="I155" s="1135"/>
      <c r="J155" s="1135"/>
      <c r="K155" s="1135"/>
      <c r="L155" s="1135"/>
      <c r="M155" s="1135"/>
      <c r="N155" s="1135"/>
      <c r="O155" s="1135"/>
      <c r="P155" s="1135"/>
    </row>
    <row r="156" spans="3:16">
      <c r="C156" s="1135"/>
      <c r="D156" s="1135"/>
      <c r="E156" s="1135"/>
      <c r="F156" s="1135"/>
      <c r="G156" s="1135"/>
      <c r="H156" s="1135"/>
      <c r="I156" s="1135"/>
      <c r="J156" s="1135"/>
      <c r="K156" s="1135"/>
      <c r="L156" s="1135"/>
      <c r="M156" s="1135"/>
      <c r="N156" s="1135"/>
      <c r="O156" s="1135"/>
      <c r="P156" s="1135"/>
    </row>
    <row r="157" spans="3:16">
      <c r="C157" s="1135"/>
      <c r="D157" s="1135"/>
      <c r="E157" s="1135"/>
      <c r="F157" s="1135"/>
      <c r="G157" s="1135"/>
      <c r="H157" s="1135"/>
      <c r="I157" s="1135"/>
      <c r="J157" s="1135"/>
      <c r="K157" s="1135"/>
      <c r="L157" s="1135"/>
      <c r="M157" s="1135"/>
      <c r="N157" s="1135"/>
      <c r="O157" s="1135"/>
      <c r="P157" s="1135"/>
    </row>
    <row r="158" spans="3:16">
      <c r="C158" s="1135"/>
      <c r="D158" s="1135"/>
      <c r="E158" s="1135"/>
      <c r="F158" s="1135"/>
      <c r="G158" s="1135"/>
      <c r="H158" s="1135"/>
      <c r="I158" s="1135"/>
      <c r="J158" s="1135"/>
      <c r="K158" s="1135"/>
      <c r="L158" s="1135"/>
      <c r="M158" s="1135"/>
      <c r="N158" s="1135"/>
      <c r="O158" s="1135"/>
      <c r="P158" s="1135"/>
    </row>
    <row r="159" spans="3:16">
      <c r="C159" s="1135"/>
      <c r="D159" s="1135"/>
      <c r="E159" s="1135"/>
      <c r="F159" s="1135"/>
      <c r="G159" s="1135"/>
      <c r="H159" s="1135"/>
      <c r="I159" s="1135"/>
      <c r="J159" s="1135"/>
      <c r="K159" s="1135"/>
      <c r="L159" s="1135"/>
      <c r="M159" s="1135"/>
      <c r="N159" s="1135"/>
      <c r="O159" s="1135"/>
      <c r="P159" s="1135"/>
    </row>
    <row r="160" spans="3:16">
      <c r="C160" s="1135"/>
      <c r="D160" s="1135"/>
      <c r="E160" s="1135"/>
      <c r="F160" s="1135"/>
      <c r="G160" s="1135"/>
      <c r="H160" s="1135"/>
      <c r="I160" s="1135"/>
      <c r="J160" s="1135"/>
      <c r="K160" s="1135"/>
      <c r="L160" s="1135"/>
      <c r="M160" s="1135"/>
      <c r="N160" s="1135"/>
      <c r="O160" s="1135"/>
      <c r="P160" s="1135"/>
    </row>
    <row r="161" spans="3:16">
      <c r="C161" s="1135"/>
      <c r="D161" s="1135"/>
      <c r="E161" s="1135"/>
      <c r="F161" s="1135"/>
      <c r="G161" s="1135"/>
      <c r="H161" s="1135"/>
      <c r="I161" s="1135"/>
      <c r="J161" s="1135"/>
      <c r="K161" s="1135"/>
      <c r="L161" s="1135"/>
      <c r="M161" s="1135"/>
      <c r="N161" s="1135"/>
      <c r="O161" s="1135"/>
      <c r="P161" s="1135"/>
    </row>
    <row r="162" spans="3:16">
      <c r="C162" s="1135"/>
      <c r="D162" s="1135"/>
      <c r="E162" s="1135"/>
      <c r="F162" s="1135"/>
      <c r="G162" s="1135"/>
      <c r="H162" s="1135"/>
      <c r="I162" s="1135"/>
      <c r="J162" s="1135"/>
      <c r="K162" s="1135"/>
      <c r="L162" s="1135"/>
      <c r="M162" s="1135"/>
      <c r="N162" s="1135"/>
      <c r="O162" s="1135"/>
      <c r="P162" s="1135"/>
    </row>
    <row r="163" spans="3:16">
      <c r="C163" s="1135"/>
      <c r="D163" s="1135"/>
      <c r="E163" s="1135"/>
      <c r="F163" s="1135"/>
      <c r="G163" s="1135"/>
      <c r="H163" s="1135"/>
      <c r="I163" s="1135"/>
      <c r="J163" s="1135"/>
      <c r="K163" s="1135"/>
      <c r="L163" s="1135"/>
      <c r="M163" s="1135"/>
      <c r="N163" s="1135"/>
      <c r="O163" s="1135"/>
      <c r="P163" s="1135"/>
    </row>
    <row r="164" spans="3:16">
      <c r="C164" s="1135"/>
      <c r="D164" s="1135"/>
      <c r="E164" s="1135"/>
      <c r="F164" s="1135"/>
      <c r="G164" s="1135"/>
      <c r="H164" s="1135"/>
      <c r="I164" s="1135"/>
      <c r="J164" s="1135"/>
      <c r="K164" s="1135"/>
      <c r="L164" s="1135"/>
      <c r="M164" s="1135"/>
      <c r="N164" s="1135"/>
      <c r="O164" s="1135"/>
      <c r="P164" s="1135"/>
    </row>
    <row r="165" spans="3:16">
      <c r="C165" s="1135"/>
      <c r="D165" s="1135"/>
      <c r="E165" s="1135"/>
      <c r="F165" s="1135"/>
      <c r="G165" s="1135"/>
      <c r="H165" s="1135"/>
      <c r="I165" s="1135"/>
      <c r="J165" s="1135"/>
      <c r="K165" s="1135"/>
      <c r="L165" s="1135"/>
      <c r="M165" s="1135"/>
      <c r="N165" s="1135"/>
      <c r="O165" s="1135"/>
      <c r="P165" s="1135"/>
    </row>
    <row r="166" spans="3:16">
      <c r="C166" s="1135"/>
      <c r="D166" s="1135"/>
      <c r="E166" s="1135"/>
      <c r="F166" s="1135"/>
      <c r="G166" s="1135"/>
      <c r="H166" s="1135"/>
      <c r="I166" s="1135"/>
      <c r="J166" s="1135"/>
      <c r="K166" s="1135"/>
      <c r="L166" s="1135"/>
      <c r="M166" s="1135"/>
      <c r="N166" s="1135"/>
      <c r="O166" s="1135"/>
      <c r="P166" s="1135"/>
    </row>
    <row r="167" spans="3:16">
      <c r="C167" s="1135"/>
      <c r="D167" s="1135"/>
      <c r="E167" s="1135"/>
      <c r="F167" s="1135"/>
      <c r="G167" s="1135"/>
      <c r="H167" s="1135"/>
      <c r="I167" s="1135"/>
      <c r="J167" s="1135"/>
      <c r="K167" s="1135"/>
      <c r="L167" s="1135"/>
      <c r="M167" s="1135"/>
      <c r="N167" s="1135"/>
      <c r="O167" s="1135"/>
      <c r="P167" s="1135"/>
    </row>
    <row r="168" spans="3:16">
      <c r="C168" s="1135"/>
      <c r="D168" s="1135"/>
      <c r="E168" s="1135"/>
      <c r="F168" s="1135"/>
      <c r="G168" s="1135"/>
      <c r="H168" s="1135"/>
      <c r="I168" s="1135"/>
      <c r="J168" s="1135"/>
      <c r="K168" s="1135"/>
      <c r="L168" s="1135"/>
      <c r="M168" s="1135"/>
      <c r="N168" s="1135"/>
      <c r="O168" s="1135"/>
      <c r="P168" s="1135"/>
    </row>
    <row r="169" spans="3:16">
      <c r="C169" s="1135"/>
      <c r="D169" s="1135"/>
      <c r="E169" s="1135"/>
      <c r="F169" s="1135"/>
      <c r="G169" s="1135"/>
      <c r="H169" s="1135"/>
      <c r="I169" s="1135"/>
      <c r="J169" s="1135"/>
      <c r="K169" s="1135"/>
      <c r="L169" s="1135"/>
      <c r="M169" s="1135"/>
      <c r="N169" s="1135"/>
      <c r="O169" s="1135"/>
      <c r="P169" s="1135"/>
    </row>
    <row r="170" spans="3:16">
      <c r="C170" s="1135"/>
      <c r="D170" s="1135"/>
      <c r="E170" s="1135"/>
      <c r="F170" s="1135"/>
      <c r="G170" s="1135"/>
      <c r="H170" s="1135"/>
      <c r="I170" s="1135"/>
      <c r="J170" s="1135"/>
      <c r="K170" s="1135"/>
      <c r="L170" s="1135"/>
      <c r="M170" s="1135"/>
      <c r="N170" s="1135"/>
      <c r="O170" s="1135"/>
      <c r="P170" s="1135"/>
    </row>
    <row r="171" spans="3:16">
      <c r="C171" s="1135"/>
      <c r="D171" s="1135"/>
      <c r="E171" s="1135"/>
      <c r="F171" s="1135"/>
      <c r="G171" s="1135"/>
      <c r="H171" s="1135"/>
      <c r="I171" s="1135"/>
      <c r="J171" s="1135"/>
      <c r="K171" s="1135"/>
      <c r="L171" s="1135"/>
      <c r="M171" s="1135"/>
      <c r="N171" s="1135"/>
      <c r="O171" s="1135"/>
      <c r="P171" s="1135"/>
    </row>
    <row r="172" spans="3:16">
      <c r="C172" s="1135"/>
      <c r="D172" s="1135"/>
      <c r="E172" s="1135"/>
      <c r="F172" s="1135"/>
      <c r="G172" s="1135"/>
      <c r="H172" s="1135"/>
      <c r="I172" s="1135"/>
      <c r="J172" s="1135"/>
      <c r="K172" s="1135"/>
      <c r="L172" s="1135"/>
      <c r="M172" s="1135"/>
      <c r="N172" s="1135"/>
      <c r="O172" s="1135"/>
      <c r="P172" s="1135"/>
    </row>
    <row r="173" spans="3:16">
      <c r="C173" s="1135"/>
      <c r="D173" s="1135"/>
      <c r="E173" s="1135"/>
      <c r="F173" s="1135"/>
      <c r="G173" s="1135"/>
      <c r="H173" s="1135"/>
      <c r="I173" s="1135"/>
      <c r="J173" s="1135"/>
      <c r="K173" s="1135"/>
      <c r="L173" s="1135"/>
      <c r="M173" s="1135"/>
      <c r="N173" s="1135"/>
      <c r="O173" s="1135"/>
      <c r="P173" s="1135"/>
    </row>
    <row r="174" spans="3:16">
      <c r="C174" s="1135"/>
      <c r="D174" s="1135"/>
      <c r="E174" s="1135"/>
      <c r="F174" s="1135"/>
      <c r="G174" s="1135"/>
      <c r="H174" s="1135"/>
      <c r="I174" s="1135"/>
      <c r="J174" s="1135"/>
      <c r="K174" s="1135"/>
      <c r="L174" s="1135"/>
      <c r="M174" s="1135"/>
      <c r="N174" s="1135"/>
      <c r="O174" s="1135"/>
      <c r="P174" s="1135"/>
    </row>
    <row r="175" spans="3:16">
      <c r="C175" s="1135"/>
      <c r="D175" s="1135"/>
      <c r="E175" s="1135"/>
      <c r="F175" s="1135"/>
      <c r="G175" s="1135"/>
      <c r="H175" s="1135"/>
      <c r="I175" s="1135"/>
      <c r="J175" s="1135"/>
      <c r="K175" s="1135"/>
      <c r="L175" s="1135"/>
      <c r="M175" s="1135"/>
      <c r="N175" s="1135"/>
      <c r="O175" s="1135"/>
      <c r="P175" s="1135"/>
    </row>
    <row r="176" spans="3:16">
      <c r="C176" s="1135"/>
      <c r="D176" s="1135"/>
      <c r="E176" s="1135"/>
      <c r="F176" s="1135"/>
      <c r="G176" s="1135"/>
      <c r="H176" s="1135"/>
      <c r="I176" s="1135"/>
      <c r="J176" s="1135"/>
      <c r="K176" s="1135"/>
      <c r="L176" s="1135"/>
      <c r="M176" s="1135"/>
      <c r="N176" s="1135"/>
      <c r="O176" s="1135"/>
      <c r="P176" s="1135"/>
    </row>
    <row r="177" spans="3:16">
      <c r="C177" s="1135"/>
      <c r="D177" s="1135"/>
      <c r="E177" s="1135"/>
      <c r="F177" s="1135"/>
      <c r="G177" s="1135"/>
      <c r="H177" s="1135"/>
      <c r="I177" s="1135"/>
      <c r="J177" s="1135"/>
      <c r="K177" s="1135"/>
      <c r="L177" s="1135"/>
      <c r="M177" s="1135"/>
      <c r="N177" s="1135"/>
      <c r="O177" s="1135"/>
      <c r="P177" s="1135"/>
    </row>
    <row r="178" spans="3:16">
      <c r="C178" s="1135"/>
      <c r="D178" s="1135"/>
      <c r="E178" s="1135"/>
      <c r="F178" s="1135"/>
      <c r="G178" s="1135"/>
      <c r="H178" s="1135"/>
      <c r="I178" s="1135"/>
      <c r="J178" s="1135"/>
      <c r="K178" s="1135"/>
      <c r="L178" s="1135"/>
      <c r="M178" s="1135"/>
      <c r="N178" s="1135"/>
      <c r="O178" s="1135"/>
      <c r="P178" s="1135"/>
    </row>
    <row r="179" spans="3:16">
      <c r="C179" s="1135"/>
      <c r="D179" s="1135"/>
      <c r="E179" s="1135"/>
      <c r="F179" s="1135"/>
      <c r="G179" s="1135"/>
      <c r="H179" s="1135"/>
      <c r="I179" s="1135"/>
      <c r="J179" s="1135"/>
      <c r="K179" s="1135"/>
      <c r="L179" s="1135"/>
      <c r="M179" s="1135"/>
      <c r="N179" s="1135"/>
      <c r="O179" s="1135"/>
      <c r="P179" s="1135"/>
    </row>
    <row r="180" spans="3:16">
      <c r="C180" s="1135"/>
      <c r="D180" s="1135"/>
      <c r="E180" s="1135"/>
      <c r="F180" s="1135"/>
      <c r="G180" s="1135"/>
      <c r="H180" s="1135"/>
      <c r="I180" s="1135"/>
      <c r="J180" s="1135"/>
      <c r="K180" s="1135"/>
      <c r="L180" s="1135"/>
      <c r="M180" s="1135"/>
      <c r="N180" s="1135"/>
      <c r="O180" s="1135"/>
      <c r="P180" s="1135"/>
    </row>
    <row r="181" spans="3:16">
      <c r="C181" s="1135"/>
      <c r="D181" s="1135"/>
      <c r="E181" s="1135"/>
      <c r="F181" s="1135"/>
      <c r="G181" s="1135"/>
      <c r="H181" s="1135"/>
      <c r="I181" s="1135"/>
      <c r="J181" s="1135"/>
      <c r="K181" s="1135"/>
      <c r="L181" s="1135"/>
      <c r="M181" s="1135"/>
      <c r="N181" s="1135"/>
      <c r="O181" s="1135"/>
      <c r="P181" s="1135"/>
    </row>
    <row r="182" spans="3:16">
      <c r="C182" s="1135"/>
      <c r="D182" s="1135"/>
      <c r="E182" s="1135"/>
      <c r="F182" s="1135"/>
      <c r="G182" s="1135"/>
      <c r="H182" s="1135"/>
      <c r="I182" s="1135"/>
      <c r="J182" s="1135"/>
      <c r="K182" s="1135"/>
      <c r="L182" s="1135"/>
      <c r="M182" s="1135"/>
      <c r="N182" s="1135"/>
      <c r="O182" s="1135"/>
      <c r="P182" s="1135"/>
    </row>
    <row r="183" spans="3:16">
      <c r="C183" s="1135"/>
      <c r="D183" s="1135"/>
      <c r="E183" s="1135"/>
      <c r="F183" s="1135"/>
      <c r="G183" s="1135"/>
      <c r="H183" s="1135"/>
      <c r="I183" s="1135"/>
      <c r="J183" s="1135"/>
      <c r="K183" s="1135"/>
      <c r="L183" s="1135"/>
      <c r="M183" s="1135"/>
      <c r="N183" s="1135"/>
      <c r="O183" s="1135"/>
      <c r="P183" s="1135"/>
    </row>
    <row r="184" spans="3:16">
      <c r="C184" s="1135"/>
      <c r="D184" s="1135"/>
      <c r="E184" s="1135"/>
      <c r="F184" s="1135"/>
      <c r="G184" s="1135"/>
      <c r="H184" s="1135"/>
      <c r="I184" s="1135"/>
      <c r="J184" s="1135"/>
      <c r="K184" s="1135"/>
      <c r="L184" s="1135"/>
      <c r="M184" s="1135"/>
      <c r="N184" s="1135"/>
      <c r="O184" s="1135"/>
      <c r="P184" s="1135"/>
    </row>
    <row r="185" spans="3:16">
      <c r="C185" s="1135"/>
      <c r="D185" s="1135"/>
      <c r="E185" s="1135"/>
      <c r="F185" s="1135"/>
      <c r="G185" s="1135"/>
      <c r="H185" s="1135"/>
      <c r="I185" s="1135"/>
      <c r="J185" s="1135"/>
      <c r="K185" s="1135"/>
      <c r="L185" s="1135"/>
      <c r="M185" s="1135"/>
      <c r="N185" s="1135"/>
      <c r="O185" s="1135"/>
      <c r="P185" s="1135"/>
    </row>
    <row r="186" spans="3:16">
      <c r="C186" s="1135"/>
      <c r="D186" s="1135"/>
      <c r="E186" s="1135"/>
      <c r="F186" s="1135"/>
      <c r="G186" s="1135"/>
      <c r="H186" s="1135"/>
      <c r="I186" s="1135"/>
      <c r="J186" s="1135"/>
      <c r="K186" s="1135"/>
      <c r="L186" s="1135"/>
      <c r="M186" s="1135"/>
      <c r="N186" s="1135"/>
      <c r="O186" s="1135"/>
      <c r="P186" s="1135"/>
    </row>
    <row r="187" spans="3:16">
      <c r="C187" s="1135"/>
      <c r="D187" s="1135"/>
      <c r="E187" s="1135"/>
      <c r="F187" s="1135"/>
      <c r="G187" s="1135"/>
      <c r="H187" s="1135"/>
      <c r="I187" s="1135"/>
      <c r="J187" s="1135"/>
      <c r="K187" s="1135"/>
      <c r="L187" s="1135"/>
      <c r="M187" s="1135"/>
      <c r="N187" s="1135"/>
      <c r="O187" s="1135"/>
      <c r="P187" s="1135"/>
    </row>
    <row r="188" spans="3:16">
      <c r="C188" s="1135"/>
      <c r="D188" s="1135"/>
      <c r="E188" s="1135"/>
      <c r="F188" s="1135"/>
      <c r="G188" s="1135"/>
      <c r="H188" s="1135"/>
      <c r="I188" s="1135"/>
      <c r="J188" s="1135"/>
      <c r="K188" s="1135"/>
      <c r="L188" s="1135"/>
      <c r="M188" s="1135"/>
      <c r="N188" s="1135"/>
      <c r="O188" s="1135"/>
      <c r="P188" s="1135"/>
    </row>
    <row r="189" spans="3:16">
      <c r="C189" s="1135"/>
      <c r="D189" s="1135"/>
      <c r="E189" s="1135"/>
      <c r="F189" s="1135"/>
      <c r="G189" s="1135"/>
      <c r="H189" s="1135"/>
      <c r="I189" s="1135"/>
      <c r="J189" s="1135"/>
      <c r="K189" s="1135"/>
      <c r="L189" s="1135"/>
      <c r="M189" s="1135"/>
      <c r="N189" s="1135"/>
      <c r="O189" s="1135"/>
      <c r="P189" s="1135"/>
    </row>
    <row r="190" spans="3:16">
      <c r="C190" s="1135"/>
      <c r="D190" s="1135"/>
      <c r="E190" s="1135"/>
      <c r="F190" s="1135"/>
      <c r="G190" s="1135"/>
      <c r="H190" s="1135"/>
      <c r="I190" s="1135"/>
      <c r="J190" s="1135"/>
      <c r="K190" s="1135"/>
      <c r="L190" s="1135"/>
      <c r="M190" s="1135"/>
      <c r="N190" s="1135"/>
      <c r="O190" s="1135"/>
      <c r="P190" s="1135"/>
    </row>
    <row r="191" spans="3:16">
      <c r="C191" s="1135"/>
      <c r="D191" s="1135"/>
      <c r="E191" s="1135"/>
      <c r="F191" s="1135"/>
      <c r="G191" s="1135"/>
      <c r="H191" s="1135"/>
      <c r="I191" s="1135"/>
      <c r="J191" s="1135"/>
      <c r="K191" s="1135"/>
      <c r="L191" s="1135"/>
      <c r="M191" s="1135"/>
      <c r="N191" s="1135"/>
      <c r="O191" s="1135"/>
      <c r="P191" s="1135"/>
    </row>
    <row r="192" spans="3:16">
      <c r="C192" s="1135"/>
      <c r="D192" s="1135"/>
      <c r="E192" s="1135"/>
      <c r="F192" s="1135"/>
      <c r="G192" s="1135"/>
      <c r="H192" s="1135"/>
      <c r="I192" s="1135"/>
      <c r="J192" s="1135"/>
      <c r="K192" s="1135"/>
      <c r="L192" s="1135"/>
      <c r="M192" s="1135"/>
      <c r="N192" s="1135"/>
      <c r="O192" s="1135"/>
      <c r="P192" s="1135"/>
    </row>
    <row r="193" spans="3:16">
      <c r="C193" s="1135"/>
      <c r="D193" s="1135"/>
      <c r="E193" s="1135"/>
      <c r="F193" s="1135"/>
      <c r="G193" s="1135"/>
      <c r="H193" s="1135"/>
      <c r="I193" s="1135"/>
      <c r="J193" s="1135"/>
      <c r="K193" s="1135"/>
      <c r="L193" s="1135"/>
      <c r="M193" s="1135"/>
      <c r="N193" s="1135"/>
      <c r="O193" s="1135"/>
      <c r="P193" s="1135"/>
    </row>
    <row r="194" spans="3:16">
      <c r="C194" s="1135"/>
      <c r="D194" s="1135"/>
      <c r="E194" s="1135"/>
      <c r="F194" s="1135"/>
      <c r="G194" s="1135"/>
      <c r="H194" s="1135"/>
      <c r="I194" s="1135"/>
      <c r="J194" s="1135"/>
      <c r="K194" s="1135"/>
      <c r="L194" s="1135"/>
      <c r="M194" s="1135"/>
      <c r="N194" s="1135"/>
      <c r="O194" s="1135"/>
      <c r="P194" s="1135"/>
    </row>
    <row r="195" spans="3:16">
      <c r="C195" s="1135"/>
      <c r="D195" s="1135"/>
      <c r="E195" s="1135"/>
      <c r="F195" s="1135"/>
      <c r="G195" s="1135"/>
      <c r="H195" s="1135"/>
      <c r="I195" s="1135"/>
      <c r="J195" s="1135"/>
      <c r="K195" s="1135"/>
      <c r="L195" s="1135"/>
      <c r="M195" s="1135"/>
      <c r="N195" s="1135"/>
      <c r="O195" s="1135"/>
      <c r="P195" s="1135"/>
    </row>
    <row r="196" spans="3:16">
      <c r="C196" s="1135"/>
      <c r="D196" s="1135"/>
      <c r="E196" s="1135"/>
      <c r="F196" s="1135"/>
      <c r="G196" s="1135"/>
      <c r="H196" s="1135"/>
      <c r="I196" s="1135"/>
      <c r="J196" s="1135"/>
      <c r="K196" s="1135"/>
      <c r="L196" s="1135"/>
      <c r="M196" s="1135"/>
      <c r="N196" s="1135"/>
      <c r="O196" s="1135"/>
      <c r="P196" s="1135"/>
    </row>
    <row r="197" spans="3:16">
      <c r="C197" s="1135"/>
      <c r="D197" s="1135"/>
      <c r="E197" s="1135"/>
      <c r="F197" s="1135"/>
      <c r="G197" s="1135"/>
      <c r="H197" s="1135"/>
      <c r="I197" s="1135"/>
      <c r="J197" s="1135"/>
      <c r="K197" s="1135"/>
      <c r="L197" s="1135"/>
      <c r="M197" s="1135"/>
      <c r="N197" s="1135"/>
      <c r="O197" s="1135"/>
      <c r="P197" s="1135"/>
    </row>
    <row r="198" spans="3:16">
      <c r="C198" s="1135"/>
      <c r="D198" s="1135"/>
      <c r="E198" s="1135"/>
      <c r="F198" s="1135"/>
      <c r="G198" s="1135"/>
      <c r="H198" s="1135"/>
      <c r="I198" s="1135"/>
      <c r="J198" s="1135"/>
      <c r="K198" s="1135"/>
      <c r="L198" s="1135"/>
      <c r="M198" s="1135"/>
      <c r="N198" s="1135"/>
      <c r="O198" s="1135"/>
      <c r="P198" s="1135"/>
    </row>
    <row r="199" spans="3:16">
      <c r="C199" s="1135"/>
      <c r="D199" s="1135"/>
      <c r="E199" s="1135"/>
      <c r="F199" s="1135"/>
      <c r="G199" s="1135"/>
      <c r="H199" s="1135"/>
      <c r="I199" s="1135"/>
      <c r="J199" s="1135"/>
      <c r="K199" s="1135"/>
      <c r="L199" s="1135"/>
      <c r="M199" s="1135"/>
      <c r="N199" s="1135"/>
      <c r="O199" s="1135"/>
      <c r="P199" s="1135"/>
    </row>
    <row r="200" spans="3:16">
      <c r="C200" s="1135"/>
      <c r="D200" s="1135"/>
      <c r="E200" s="1135"/>
      <c r="F200" s="1135"/>
      <c r="G200" s="1135"/>
      <c r="H200" s="1135"/>
      <c r="I200" s="1135"/>
      <c r="J200" s="1135"/>
      <c r="K200" s="1135"/>
      <c r="L200" s="1135"/>
      <c r="M200" s="1135"/>
      <c r="N200" s="1135"/>
      <c r="O200" s="1135"/>
      <c r="P200" s="1135"/>
    </row>
    <row r="201" spans="3:16">
      <c r="C201" s="1135"/>
      <c r="D201" s="1135"/>
      <c r="E201" s="1135"/>
      <c r="F201" s="1135"/>
      <c r="G201" s="1135"/>
      <c r="H201" s="1135"/>
      <c r="I201" s="1135"/>
      <c r="J201" s="1135"/>
      <c r="K201" s="1135"/>
      <c r="L201" s="1135"/>
      <c r="M201" s="1135"/>
      <c r="N201" s="1135"/>
      <c r="O201" s="1135"/>
      <c r="P201" s="1135"/>
    </row>
    <row r="202" spans="3:16">
      <c r="C202" s="1135"/>
      <c r="D202" s="1135"/>
      <c r="E202" s="1135"/>
      <c r="F202" s="1135"/>
      <c r="G202" s="1135"/>
      <c r="H202" s="1135"/>
      <c r="I202" s="1135"/>
      <c r="J202" s="1135"/>
      <c r="K202" s="1135"/>
      <c r="L202" s="1135"/>
      <c r="M202" s="1135"/>
      <c r="N202" s="1135"/>
      <c r="O202" s="1135"/>
      <c r="P202" s="1135"/>
    </row>
    <row r="203" spans="3:16">
      <c r="C203" s="1135"/>
      <c r="D203" s="1135"/>
      <c r="E203" s="1135"/>
      <c r="F203" s="1135"/>
      <c r="G203" s="1135"/>
      <c r="H203" s="1135"/>
      <c r="I203" s="1135"/>
      <c r="J203" s="1135"/>
      <c r="K203" s="1135"/>
      <c r="L203" s="1135"/>
      <c r="M203" s="1135"/>
      <c r="N203" s="1135"/>
      <c r="O203" s="1135"/>
      <c r="P203" s="1135"/>
    </row>
    <row r="204" spans="3:16">
      <c r="C204" s="1135"/>
      <c r="D204" s="1135"/>
      <c r="E204" s="1135"/>
      <c r="F204" s="1135"/>
      <c r="G204" s="1135"/>
      <c r="H204" s="1135"/>
      <c r="I204" s="1135"/>
      <c r="J204" s="1135"/>
      <c r="K204" s="1135"/>
      <c r="L204" s="1135"/>
      <c r="M204" s="1135"/>
      <c r="N204" s="1135"/>
      <c r="O204" s="1135"/>
      <c r="P204" s="1135"/>
    </row>
    <row r="205" spans="3:16">
      <c r="C205" s="1135"/>
      <c r="D205" s="1135"/>
      <c r="E205" s="1135"/>
      <c r="F205" s="1135"/>
      <c r="G205" s="1135"/>
      <c r="H205" s="1135"/>
      <c r="I205" s="1135"/>
      <c r="J205" s="1135"/>
      <c r="K205" s="1135"/>
      <c r="L205" s="1135"/>
      <c r="M205" s="1135"/>
      <c r="N205" s="1135"/>
      <c r="O205" s="1135"/>
      <c r="P205" s="1135"/>
    </row>
    <row r="206" spans="3:16">
      <c r="C206" s="1135"/>
      <c r="D206" s="1135"/>
      <c r="E206" s="1135"/>
      <c r="F206" s="1135"/>
      <c r="G206" s="1135"/>
      <c r="H206" s="1135"/>
      <c r="I206" s="1135"/>
      <c r="J206" s="1135"/>
      <c r="K206" s="1135"/>
      <c r="L206" s="1135"/>
      <c r="M206" s="1135"/>
      <c r="N206" s="1135"/>
      <c r="O206" s="1135"/>
      <c r="P206" s="1135"/>
    </row>
    <row r="207" spans="3:16">
      <c r="C207" s="1135"/>
      <c r="D207" s="1135"/>
      <c r="E207" s="1135"/>
      <c r="F207" s="1135"/>
      <c r="G207" s="1135"/>
      <c r="H207" s="1135"/>
      <c r="I207" s="1135"/>
      <c r="J207" s="1135"/>
      <c r="K207" s="1135"/>
      <c r="L207" s="1135"/>
      <c r="M207" s="1135"/>
      <c r="N207" s="1135"/>
      <c r="O207" s="1135"/>
      <c r="P207" s="1135"/>
    </row>
    <row r="208" spans="3:16">
      <c r="C208" s="1135"/>
      <c r="D208" s="1135"/>
      <c r="E208" s="1135"/>
      <c r="F208" s="1135"/>
      <c r="G208" s="1135"/>
      <c r="H208" s="1135"/>
      <c r="I208" s="1135"/>
      <c r="J208" s="1135"/>
      <c r="K208" s="1135"/>
      <c r="L208" s="1135"/>
      <c r="M208" s="1135"/>
      <c r="N208" s="1135"/>
      <c r="O208" s="1135"/>
      <c r="P208" s="1135"/>
    </row>
    <row r="209" spans="3:16">
      <c r="C209" s="1135"/>
      <c r="D209" s="1135"/>
      <c r="E209" s="1135"/>
      <c r="F209" s="1135"/>
      <c r="G209" s="1135"/>
      <c r="H209" s="1135"/>
      <c r="I209" s="1135"/>
      <c r="J209" s="1135"/>
      <c r="K209" s="1135"/>
      <c r="L209" s="1135"/>
      <c r="M209" s="1135"/>
      <c r="N209" s="1135"/>
      <c r="O209" s="1135"/>
      <c r="P209" s="1135"/>
    </row>
    <row r="210" spans="3:16">
      <c r="C210" s="1135"/>
      <c r="D210" s="1135"/>
      <c r="E210" s="1135"/>
      <c r="F210" s="1135"/>
      <c r="G210" s="1135"/>
      <c r="H210" s="1135"/>
      <c r="I210" s="1135"/>
      <c r="J210" s="1135"/>
      <c r="K210" s="1135"/>
      <c r="L210" s="1135"/>
      <c r="M210" s="1135"/>
      <c r="N210" s="1135"/>
      <c r="O210" s="1135"/>
      <c r="P210" s="1135"/>
    </row>
    <row r="211" spans="3:16">
      <c r="C211" s="1135"/>
      <c r="D211" s="1135"/>
      <c r="E211" s="1135"/>
      <c r="F211" s="1135"/>
      <c r="G211" s="1135"/>
      <c r="H211" s="1135"/>
      <c r="I211" s="1135"/>
      <c r="J211" s="1135"/>
      <c r="K211" s="1135"/>
      <c r="L211" s="1135"/>
      <c r="M211" s="1135"/>
      <c r="N211" s="1135"/>
      <c r="O211" s="1135"/>
      <c r="P211" s="1135"/>
    </row>
    <row r="212" spans="3:16">
      <c r="C212" s="1135"/>
      <c r="D212" s="1135"/>
      <c r="E212" s="1135"/>
      <c r="F212" s="1135"/>
      <c r="G212" s="1135"/>
      <c r="H212" s="1135"/>
      <c r="I212" s="1135"/>
      <c r="J212" s="1135"/>
      <c r="K212" s="1135"/>
      <c r="L212" s="1135"/>
      <c r="M212" s="1135"/>
      <c r="N212" s="1135"/>
      <c r="O212" s="1135"/>
      <c r="P212" s="1135"/>
    </row>
    <row r="213" spans="3:16">
      <c r="C213" s="1135"/>
      <c r="D213" s="1135"/>
      <c r="E213" s="1135"/>
      <c r="F213" s="1135"/>
      <c r="G213" s="1135"/>
      <c r="H213" s="1135"/>
      <c r="I213" s="1135"/>
      <c r="J213" s="1135"/>
      <c r="K213" s="1135"/>
      <c r="L213" s="1135"/>
      <c r="M213" s="1135"/>
      <c r="N213" s="1135"/>
      <c r="O213" s="1135"/>
      <c r="P213" s="1135"/>
    </row>
    <row r="214" spans="3:16">
      <c r="C214" s="1135"/>
      <c r="D214" s="1135"/>
      <c r="E214" s="1135"/>
      <c r="F214" s="1135"/>
      <c r="G214" s="1135"/>
      <c r="H214" s="1135"/>
      <c r="I214" s="1135"/>
      <c r="J214" s="1135"/>
      <c r="K214" s="1135"/>
      <c r="L214" s="1135"/>
      <c r="M214" s="1135"/>
      <c r="N214" s="1135"/>
      <c r="O214" s="1135"/>
      <c r="P214" s="1135"/>
    </row>
    <row r="215" spans="3:16">
      <c r="C215" s="1135"/>
      <c r="D215" s="1135"/>
      <c r="E215" s="1135"/>
      <c r="F215" s="1135"/>
      <c r="G215" s="1135"/>
      <c r="H215" s="1135"/>
      <c r="I215" s="1135"/>
      <c r="J215" s="1135"/>
      <c r="K215" s="1135"/>
      <c r="L215" s="1135"/>
      <c r="M215" s="1135"/>
      <c r="N215" s="1135"/>
      <c r="O215" s="1135"/>
      <c r="P215" s="1135"/>
    </row>
    <row r="216" spans="3:16">
      <c r="C216" s="1135"/>
      <c r="D216" s="1135"/>
      <c r="E216" s="1135"/>
      <c r="F216" s="1135"/>
      <c r="G216" s="1135"/>
      <c r="H216" s="1135"/>
      <c r="I216" s="1135"/>
      <c r="J216" s="1135"/>
      <c r="K216" s="1135"/>
      <c r="L216" s="1135"/>
      <c r="M216" s="1135"/>
      <c r="N216" s="1135"/>
      <c r="O216" s="1135"/>
      <c r="P216" s="1135"/>
    </row>
    <row r="217" spans="3:16">
      <c r="C217" s="1135"/>
      <c r="D217" s="1135"/>
      <c r="E217" s="1135"/>
      <c r="F217" s="1135"/>
      <c r="G217" s="1135"/>
      <c r="H217" s="1135"/>
      <c r="I217" s="1135"/>
      <c r="J217" s="1135"/>
      <c r="K217" s="1135"/>
      <c r="L217" s="1135"/>
      <c r="M217" s="1135"/>
      <c r="N217" s="1135"/>
      <c r="O217" s="1135"/>
      <c r="P217" s="1135"/>
    </row>
    <row r="218" spans="3:16">
      <c r="C218" s="1135"/>
      <c r="D218" s="1135"/>
      <c r="E218" s="1135"/>
      <c r="F218" s="1135"/>
      <c r="G218" s="1135"/>
      <c r="H218" s="1135"/>
      <c r="I218" s="1135"/>
      <c r="J218" s="1135"/>
      <c r="K218" s="1135"/>
      <c r="L218" s="1135"/>
      <c r="M218" s="1135"/>
      <c r="N218" s="1135"/>
      <c r="O218" s="1135"/>
      <c r="P218" s="1135"/>
    </row>
    <row r="219" spans="3:16">
      <c r="C219" s="1135"/>
      <c r="D219" s="1135"/>
      <c r="E219" s="1135"/>
      <c r="F219" s="1135"/>
      <c r="G219" s="1135"/>
      <c r="H219" s="1135"/>
      <c r="I219" s="1135"/>
      <c r="J219" s="1135"/>
      <c r="K219" s="1135"/>
      <c r="L219" s="1135"/>
      <c r="M219" s="1135"/>
      <c r="N219" s="1135"/>
      <c r="O219" s="1135"/>
      <c r="P219" s="1135"/>
    </row>
    <row r="220" spans="3:16">
      <c r="C220" s="1135"/>
      <c r="D220" s="1135"/>
      <c r="E220" s="1135"/>
      <c r="F220" s="1135"/>
      <c r="G220" s="1135"/>
      <c r="H220" s="1135"/>
      <c r="I220" s="1135"/>
      <c r="J220" s="1135"/>
      <c r="K220" s="1135"/>
      <c r="L220" s="1135"/>
      <c r="M220" s="1135"/>
      <c r="N220" s="1135"/>
      <c r="O220" s="1135"/>
      <c r="P220" s="1135"/>
    </row>
    <row r="221" spans="3:16">
      <c r="C221" s="1135"/>
      <c r="D221" s="1135"/>
      <c r="E221" s="1135"/>
      <c r="F221" s="1135"/>
      <c r="G221" s="1135"/>
      <c r="H221" s="1135"/>
      <c r="I221" s="1135"/>
      <c r="J221" s="1135"/>
      <c r="K221" s="1135"/>
      <c r="L221" s="1135"/>
      <c r="M221" s="1135"/>
      <c r="N221" s="1135"/>
      <c r="O221" s="1135"/>
      <c r="P221" s="1135"/>
    </row>
    <row r="222" spans="3:16">
      <c r="C222" s="1135"/>
      <c r="D222" s="1135"/>
      <c r="E222" s="1135"/>
      <c r="F222" s="1135"/>
      <c r="G222" s="1135"/>
      <c r="H222" s="1135"/>
      <c r="I222" s="1135"/>
      <c r="J222" s="1135"/>
      <c r="K222" s="1135"/>
      <c r="L222" s="1135"/>
      <c r="M222" s="1135"/>
      <c r="N222" s="1135"/>
      <c r="O222" s="1135"/>
      <c r="P222" s="1135"/>
    </row>
    <row r="223" spans="3:16">
      <c r="C223" s="1135"/>
      <c r="D223" s="1135"/>
      <c r="E223" s="1135"/>
      <c r="F223" s="1135"/>
      <c r="G223" s="1135"/>
      <c r="H223" s="1135"/>
      <c r="I223" s="1135"/>
      <c r="J223" s="1135"/>
      <c r="K223" s="1135"/>
      <c r="L223" s="1135"/>
      <c r="M223" s="1135"/>
      <c r="N223" s="1135"/>
      <c r="O223" s="1135"/>
      <c r="P223" s="1135"/>
    </row>
    <row r="224" spans="3:16">
      <c r="C224" s="1135"/>
      <c r="D224" s="1135"/>
      <c r="E224" s="1135"/>
      <c r="F224" s="1135"/>
      <c r="G224" s="1135"/>
      <c r="H224" s="1135"/>
      <c r="I224" s="1135"/>
      <c r="J224" s="1135"/>
      <c r="K224" s="1135"/>
      <c r="L224" s="1135"/>
      <c r="M224" s="1135"/>
      <c r="N224" s="1135"/>
      <c r="O224" s="1135"/>
      <c r="P224" s="1135"/>
    </row>
    <row r="225" spans="3:16">
      <c r="C225" s="1135"/>
      <c r="D225" s="1135"/>
      <c r="E225" s="1135"/>
      <c r="F225" s="1135"/>
      <c r="G225" s="1135"/>
      <c r="H225" s="1135"/>
      <c r="I225" s="1135"/>
      <c r="J225" s="1135"/>
      <c r="K225" s="1135"/>
      <c r="L225" s="1135"/>
      <c r="M225" s="1135"/>
      <c r="N225" s="1135"/>
      <c r="O225" s="1135"/>
      <c r="P225" s="1135"/>
    </row>
    <row r="226" spans="3:16">
      <c r="C226" s="1135"/>
      <c r="D226" s="1135"/>
      <c r="E226" s="1135"/>
      <c r="F226" s="1135"/>
      <c r="G226" s="1135"/>
      <c r="H226" s="1135"/>
      <c r="I226" s="1135"/>
      <c r="J226" s="1135"/>
      <c r="K226" s="1135"/>
      <c r="L226" s="1135"/>
      <c r="M226" s="1135"/>
      <c r="N226" s="1135"/>
      <c r="O226" s="1135"/>
      <c r="P226" s="1135"/>
    </row>
    <row r="227" spans="3:16">
      <c r="C227" s="1135"/>
      <c r="D227" s="1135"/>
      <c r="E227" s="1135"/>
      <c r="F227" s="1135"/>
      <c r="G227" s="1135"/>
      <c r="H227" s="1135"/>
      <c r="I227" s="1135"/>
      <c r="J227" s="1135"/>
      <c r="K227" s="1135"/>
      <c r="L227" s="1135"/>
      <c r="M227" s="1135"/>
      <c r="N227" s="1135"/>
      <c r="O227" s="1135"/>
      <c r="P227" s="1135"/>
    </row>
    <row r="228" spans="3:16">
      <c r="C228" s="1135"/>
      <c r="D228" s="1135"/>
      <c r="E228" s="1135"/>
      <c r="F228" s="1135"/>
      <c r="G228" s="1135"/>
      <c r="H228" s="1135"/>
      <c r="I228" s="1135"/>
      <c r="J228" s="1135"/>
      <c r="K228" s="1135"/>
      <c r="L228" s="1135"/>
      <c r="M228" s="1135"/>
      <c r="N228" s="1135"/>
      <c r="O228" s="1135"/>
      <c r="P228" s="1135"/>
    </row>
    <row r="229" spans="3:16">
      <c r="C229" s="1135"/>
      <c r="D229" s="1135"/>
      <c r="E229" s="1135"/>
      <c r="F229" s="1135"/>
      <c r="G229" s="1135"/>
      <c r="H229" s="1135"/>
      <c r="I229" s="1135"/>
      <c r="J229" s="1135"/>
      <c r="K229" s="1135"/>
      <c r="L229" s="1135"/>
      <c r="M229" s="1135"/>
      <c r="N229" s="1135"/>
      <c r="O229" s="1135"/>
      <c r="P229" s="1135"/>
    </row>
    <row r="230" spans="3:16">
      <c r="C230" s="1135"/>
      <c r="D230" s="1135"/>
      <c r="E230" s="1135"/>
      <c r="F230" s="1135"/>
      <c r="G230" s="1135"/>
      <c r="H230" s="1135"/>
      <c r="I230" s="1135"/>
      <c r="J230" s="1135"/>
      <c r="K230" s="1135"/>
      <c r="L230" s="1135"/>
      <c r="M230" s="1135"/>
      <c r="N230" s="1135"/>
      <c r="O230" s="1135"/>
      <c r="P230" s="1135"/>
    </row>
    <row r="231" spans="3:16">
      <c r="C231" s="1135"/>
      <c r="D231" s="1135"/>
      <c r="E231" s="1135"/>
      <c r="F231" s="1135"/>
      <c r="G231" s="1135"/>
      <c r="H231" s="1135"/>
      <c r="I231" s="1135"/>
      <c r="J231" s="1135"/>
      <c r="K231" s="1135"/>
      <c r="L231" s="1135"/>
      <c r="M231" s="1135"/>
      <c r="N231" s="1135"/>
      <c r="O231" s="1135"/>
      <c r="P231" s="1135"/>
    </row>
    <row r="232" spans="3:16">
      <c r="C232" s="1135"/>
      <c r="D232" s="1135"/>
      <c r="E232" s="1135"/>
      <c r="F232" s="1135"/>
      <c r="G232" s="1135"/>
      <c r="H232" s="1135"/>
      <c r="I232" s="1135"/>
      <c r="J232" s="1135"/>
      <c r="K232" s="1135"/>
      <c r="L232" s="1135"/>
      <c r="M232" s="1135"/>
      <c r="N232" s="1135"/>
      <c r="O232" s="1135"/>
      <c r="P232" s="1135"/>
    </row>
    <row r="233" spans="3:16">
      <c r="C233" s="1135"/>
      <c r="D233" s="1135"/>
      <c r="E233" s="1135"/>
      <c r="F233" s="1135"/>
      <c r="G233" s="1135"/>
      <c r="H233" s="1135"/>
      <c r="I233" s="1135"/>
      <c r="J233" s="1135"/>
      <c r="K233" s="1135"/>
      <c r="L233" s="1135"/>
      <c r="M233" s="1135"/>
      <c r="N233" s="1135"/>
      <c r="O233" s="1135"/>
      <c r="P233" s="1135"/>
    </row>
    <row r="234" spans="3:16">
      <c r="C234" s="1135"/>
      <c r="D234" s="1135"/>
      <c r="E234" s="1135"/>
      <c r="F234" s="1135"/>
      <c r="G234" s="1135"/>
      <c r="H234" s="1135"/>
      <c r="I234" s="1135"/>
      <c r="J234" s="1135"/>
      <c r="K234" s="1135"/>
      <c r="L234" s="1135"/>
      <c r="M234" s="1135"/>
      <c r="N234" s="1135"/>
      <c r="O234" s="1135"/>
      <c r="P234" s="1135"/>
    </row>
    <row r="235" spans="3:16">
      <c r="C235" s="1135"/>
      <c r="D235" s="1135"/>
      <c r="E235" s="1135"/>
      <c r="F235" s="1135"/>
      <c r="G235" s="1135"/>
      <c r="H235" s="1135"/>
      <c r="I235" s="1135"/>
      <c r="J235" s="1135"/>
      <c r="K235" s="1135"/>
      <c r="L235" s="1135"/>
      <c r="M235" s="1135"/>
      <c r="N235" s="1135"/>
      <c r="O235" s="1135"/>
      <c r="P235" s="1135"/>
    </row>
    <row r="236" spans="3:16">
      <c r="C236" s="1135"/>
      <c r="D236" s="1135"/>
      <c r="E236" s="1135"/>
      <c r="F236" s="1135"/>
      <c r="G236" s="1135"/>
      <c r="H236" s="1135"/>
      <c r="I236" s="1135"/>
      <c r="J236" s="1135"/>
      <c r="K236" s="1135"/>
      <c r="L236" s="1135"/>
      <c r="M236" s="1135"/>
      <c r="N236" s="1135"/>
      <c r="O236" s="1135"/>
      <c r="P236" s="1135"/>
    </row>
    <row r="237" spans="3:16">
      <c r="C237" s="1135"/>
      <c r="D237" s="1135"/>
      <c r="E237" s="1135"/>
      <c r="F237" s="1135"/>
      <c r="G237" s="1135"/>
      <c r="H237" s="1135"/>
      <c r="I237" s="1135"/>
      <c r="J237" s="1135"/>
      <c r="K237" s="1135"/>
      <c r="L237" s="1135"/>
      <c r="M237" s="1135"/>
      <c r="N237" s="1135"/>
      <c r="O237" s="1135"/>
      <c r="P237" s="1135"/>
    </row>
    <row r="238" spans="3:16">
      <c r="C238" s="1135"/>
      <c r="D238" s="1135"/>
      <c r="E238" s="1135"/>
      <c r="F238" s="1135"/>
      <c r="G238" s="1135"/>
      <c r="H238" s="1135"/>
      <c r="I238" s="1135"/>
      <c r="J238" s="1135"/>
      <c r="K238" s="1135"/>
      <c r="L238" s="1135"/>
      <c r="M238" s="1135"/>
      <c r="N238" s="1135"/>
      <c r="O238" s="1135"/>
      <c r="P238" s="1135"/>
    </row>
    <row r="239" spans="3:16">
      <c r="C239" s="1135"/>
      <c r="D239" s="1135"/>
      <c r="E239" s="1135"/>
      <c r="F239" s="1135"/>
      <c r="G239" s="1135"/>
      <c r="H239" s="1135"/>
      <c r="I239" s="1135"/>
      <c r="J239" s="1135"/>
      <c r="K239" s="1135"/>
      <c r="L239" s="1135"/>
      <c r="M239" s="1135"/>
      <c r="N239" s="1135"/>
      <c r="O239" s="1135"/>
      <c r="P239" s="1135"/>
    </row>
    <row r="240" spans="3:16">
      <c r="C240" s="1135"/>
      <c r="D240" s="1135"/>
      <c r="E240" s="1135"/>
      <c r="F240" s="1135"/>
      <c r="G240" s="1135"/>
      <c r="H240" s="1135"/>
      <c r="I240" s="1135"/>
      <c r="J240" s="1135"/>
      <c r="K240" s="1135"/>
      <c r="L240" s="1135"/>
      <c r="M240" s="1135"/>
      <c r="N240" s="1135"/>
      <c r="O240" s="1135"/>
      <c r="P240" s="1135"/>
    </row>
    <row r="241" spans="3:16">
      <c r="C241" s="1135"/>
      <c r="D241" s="1135"/>
      <c r="E241" s="1135"/>
      <c r="F241" s="1135"/>
      <c r="G241" s="1135"/>
      <c r="H241" s="1135"/>
      <c r="I241" s="1135"/>
      <c r="J241" s="1135"/>
      <c r="K241" s="1135"/>
      <c r="L241" s="1135"/>
      <c r="M241" s="1135"/>
      <c r="N241" s="1135"/>
      <c r="O241" s="1135"/>
      <c r="P241" s="1135"/>
    </row>
    <row r="242" spans="3:16">
      <c r="C242" s="1135"/>
      <c r="D242" s="1135"/>
      <c r="E242" s="1135"/>
      <c r="F242" s="1135"/>
      <c r="G242" s="1135"/>
      <c r="H242" s="1135"/>
      <c r="I242" s="1135"/>
      <c r="J242" s="1135"/>
      <c r="K242" s="1135"/>
      <c r="L242" s="1135"/>
      <c r="M242" s="1135"/>
      <c r="N242" s="1135"/>
      <c r="O242" s="1135"/>
      <c r="P242" s="1135"/>
    </row>
    <row r="243" spans="3:16">
      <c r="C243" s="1135"/>
      <c r="D243" s="1135"/>
      <c r="E243" s="1135"/>
      <c r="F243" s="1135"/>
      <c r="G243" s="1135"/>
      <c r="H243" s="1135"/>
      <c r="I243" s="1135"/>
      <c r="J243" s="1135"/>
      <c r="K243" s="1135"/>
      <c r="L243" s="1135"/>
      <c r="M243" s="1135"/>
      <c r="N243" s="1135"/>
      <c r="O243" s="1135"/>
      <c r="P243" s="1135"/>
    </row>
    <row r="244" spans="3:16">
      <c r="C244" s="1135"/>
      <c r="D244" s="1135"/>
      <c r="E244" s="1135"/>
      <c r="F244" s="1135"/>
      <c r="G244" s="1135"/>
      <c r="H244" s="1135"/>
      <c r="I244" s="1135"/>
      <c r="J244" s="1135"/>
      <c r="K244" s="1135"/>
      <c r="L244" s="1135"/>
      <c r="M244" s="1135"/>
      <c r="N244" s="1135"/>
      <c r="O244" s="1135"/>
      <c r="P244" s="1135"/>
    </row>
    <row r="245" spans="3:16">
      <c r="C245" s="1135"/>
      <c r="D245" s="1135"/>
      <c r="E245" s="1135"/>
      <c r="F245" s="1135"/>
      <c r="G245" s="1135"/>
      <c r="H245" s="1135"/>
      <c r="I245" s="1135"/>
      <c r="J245" s="1135"/>
      <c r="K245" s="1135"/>
      <c r="L245" s="1135"/>
      <c r="M245" s="1135"/>
      <c r="N245" s="1135"/>
      <c r="O245" s="1135"/>
      <c r="P245" s="1135"/>
    </row>
    <row r="246" spans="3:16">
      <c r="C246" s="1135"/>
      <c r="D246" s="1135"/>
      <c r="E246" s="1135"/>
      <c r="F246" s="1135"/>
      <c r="G246" s="1135"/>
      <c r="H246" s="1135"/>
      <c r="I246" s="1135"/>
      <c r="J246" s="1135"/>
      <c r="K246" s="1135"/>
      <c r="L246" s="1135"/>
      <c r="M246" s="1135"/>
      <c r="N246" s="1135"/>
      <c r="O246" s="1135"/>
      <c r="P246" s="1135"/>
    </row>
    <row r="247" spans="3:16">
      <c r="C247" s="1135"/>
      <c r="D247" s="1135"/>
      <c r="E247" s="1135"/>
      <c r="F247" s="1135"/>
      <c r="G247" s="1135"/>
      <c r="H247" s="1135"/>
      <c r="I247" s="1135"/>
      <c r="J247" s="1135"/>
      <c r="K247" s="1135"/>
      <c r="L247" s="1135"/>
      <c r="M247" s="1135"/>
      <c r="N247" s="1135"/>
      <c r="O247" s="1135"/>
      <c r="P247" s="1135"/>
    </row>
    <row r="248" spans="3:16">
      <c r="C248" s="1135"/>
      <c r="D248" s="1135"/>
      <c r="E248" s="1135"/>
      <c r="F248" s="1135"/>
      <c r="G248" s="1135"/>
      <c r="H248" s="1135"/>
      <c r="I248" s="1135"/>
      <c r="J248" s="1135"/>
      <c r="K248" s="1135"/>
      <c r="L248" s="1135"/>
      <c r="M248" s="1135"/>
      <c r="N248" s="1135"/>
      <c r="O248" s="1135"/>
      <c r="P248" s="1135"/>
    </row>
    <row r="249" spans="3:16">
      <c r="C249" s="1135"/>
      <c r="D249" s="1135"/>
      <c r="E249" s="1135"/>
      <c r="F249" s="1135"/>
      <c r="G249" s="1135"/>
      <c r="H249" s="1135"/>
      <c r="I249" s="1135"/>
      <c r="J249" s="1135"/>
      <c r="K249" s="1135"/>
      <c r="L249" s="1135"/>
      <c r="M249" s="1135"/>
      <c r="N249" s="1135"/>
      <c r="O249" s="1135"/>
      <c r="P249" s="1135"/>
    </row>
    <row r="250" spans="3:16">
      <c r="C250" s="1135"/>
      <c r="D250" s="1135"/>
      <c r="E250" s="1135"/>
      <c r="F250" s="1135"/>
      <c r="G250" s="1135"/>
      <c r="H250" s="1135"/>
      <c r="I250" s="1135"/>
      <c r="J250" s="1135"/>
      <c r="K250" s="1135"/>
      <c r="L250" s="1135"/>
      <c r="M250" s="1135"/>
      <c r="N250" s="1135"/>
      <c r="O250" s="1135"/>
      <c r="P250" s="1135"/>
    </row>
    <row r="251" spans="3:16">
      <c r="C251" s="1135"/>
      <c r="D251" s="1135"/>
      <c r="E251" s="1135"/>
      <c r="F251" s="1135"/>
      <c r="G251" s="1135"/>
      <c r="H251" s="1135"/>
      <c r="I251" s="1135"/>
      <c r="J251" s="1135"/>
      <c r="K251" s="1135"/>
      <c r="L251" s="1135"/>
      <c r="M251" s="1135"/>
      <c r="N251" s="1135"/>
      <c r="O251" s="1135"/>
      <c r="P251" s="1135"/>
    </row>
    <row r="252" spans="3:16">
      <c r="C252" s="1135"/>
      <c r="D252" s="1135"/>
      <c r="E252" s="1135"/>
      <c r="F252" s="1135"/>
      <c r="G252" s="1135"/>
      <c r="H252" s="1135"/>
      <c r="I252" s="1135"/>
      <c r="J252" s="1135"/>
      <c r="K252" s="1135"/>
      <c r="L252" s="1135"/>
      <c r="M252" s="1135"/>
      <c r="N252" s="1135"/>
      <c r="O252" s="1135"/>
      <c r="P252" s="1135"/>
    </row>
    <row r="253" spans="3:16">
      <c r="C253" s="1135"/>
      <c r="D253" s="1135"/>
      <c r="E253" s="1135"/>
      <c r="F253" s="1135"/>
      <c r="G253" s="1135"/>
      <c r="H253" s="1135"/>
      <c r="I253" s="1135"/>
      <c r="J253" s="1135"/>
      <c r="K253" s="1135"/>
      <c r="L253" s="1135"/>
      <c r="M253" s="1135"/>
      <c r="N253" s="1135"/>
      <c r="O253" s="1135"/>
      <c r="P253" s="1135"/>
    </row>
    <row r="254" spans="3:16">
      <c r="C254" s="1135"/>
      <c r="D254" s="1135"/>
      <c r="E254" s="1135"/>
      <c r="F254" s="1135"/>
      <c r="G254" s="1135"/>
      <c r="H254" s="1135"/>
      <c r="I254" s="1135"/>
      <c r="J254" s="1135"/>
      <c r="K254" s="1135"/>
      <c r="L254" s="1135"/>
      <c r="M254" s="1135"/>
      <c r="N254" s="1135"/>
      <c r="O254" s="1135"/>
      <c r="P254" s="1135"/>
    </row>
    <row r="255" spans="3:16">
      <c r="C255" s="1135"/>
      <c r="D255" s="1135"/>
      <c r="E255" s="1135"/>
      <c r="F255" s="1135"/>
      <c r="G255" s="1135"/>
      <c r="H255" s="1135"/>
      <c r="I255" s="1135"/>
      <c r="J255" s="1135"/>
      <c r="K255" s="1135"/>
      <c r="L255" s="1135"/>
      <c r="M255" s="1135"/>
      <c r="N255" s="1135"/>
      <c r="O255" s="1135"/>
      <c r="P255" s="1135"/>
    </row>
    <row r="256" spans="3:16">
      <c r="C256" s="1135"/>
      <c r="D256" s="1135"/>
      <c r="E256" s="1135"/>
      <c r="F256" s="1135"/>
      <c r="G256" s="1135"/>
      <c r="H256" s="1135"/>
      <c r="I256" s="1135"/>
      <c r="J256" s="1135"/>
      <c r="K256" s="1135"/>
      <c r="L256" s="1135"/>
      <c r="M256" s="1135"/>
      <c r="N256" s="1135"/>
      <c r="O256" s="1135"/>
      <c r="P256" s="1135"/>
    </row>
    <row r="257" spans="3:16">
      <c r="C257" s="1135"/>
      <c r="D257" s="1135"/>
      <c r="E257" s="1135"/>
      <c r="F257" s="1135"/>
      <c r="G257" s="1135"/>
      <c r="H257" s="1135"/>
      <c r="I257" s="1135"/>
      <c r="J257" s="1135"/>
      <c r="K257" s="1135"/>
      <c r="L257" s="1135"/>
      <c r="M257" s="1135"/>
      <c r="N257" s="1135"/>
      <c r="O257" s="1135"/>
      <c r="P257" s="1135"/>
    </row>
    <row r="258" spans="3:16">
      <c r="C258" s="1135"/>
      <c r="D258" s="1135"/>
      <c r="E258" s="1135"/>
      <c r="F258" s="1135"/>
      <c r="G258" s="1135"/>
      <c r="H258" s="1135"/>
      <c r="I258" s="1135"/>
      <c r="J258" s="1135"/>
      <c r="K258" s="1135"/>
      <c r="L258" s="1135"/>
      <c r="M258" s="1135"/>
      <c r="N258" s="1135"/>
      <c r="O258" s="1135"/>
      <c r="P258" s="1135"/>
    </row>
    <row r="259" spans="3:16">
      <c r="C259" s="1135"/>
      <c r="D259" s="1135"/>
      <c r="E259" s="1135"/>
      <c r="F259" s="1135"/>
      <c r="G259" s="1135"/>
      <c r="H259" s="1135"/>
      <c r="I259" s="1135"/>
      <c r="J259" s="1135"/>
      <c r="K259" s="1135"/>
      <c r="L259" s="1135"/>
      <c r="M259" s="1135"/>
      <c r="N259" s="1135"/>
      <c r="O259" s="1135"/>
      <c r="P259" s="1135"/>
    </row>
    <row r="260" spans="3:16">
      <c r="C260" s="1135"/>
      <c r="D260" s="1135"/>
      <c r="E260" s="1135"/>
      <c r="F260" s="1135"/>
      <c r="G260" s="1135"/>
      <c r="H260" s="1135"/>
      <c r="I260" s="1135"/>
      <c r="J260" s="1135"/>
      <c r="K260" s="1135"/>
      <c r="L260" s="1135"/>
      <c r="M260" s="1135"/>
      <c r="N260" s="1135"/>
      <c r="O260" s="1135"/>
      <c r="P260" s="1135"/>
    </row>
    <row r="261" spans="3:16">
      <c r="C261" s="1135"/>
      <c r="D261" s="1135"/>
      <c r="E261" s="1135"/>
      <c r="F261" s="1135"/>
      <c r="G261" s="1135"/>
      <c r="H261" s="1135"/>
      <c r="I261" s="1135"/>
      <c r="J261" s="1135"/>
      <c r="K261" s="1135"/>
      <c r="L261" s="1135"/>
      <c r="M261" s="1135"/>
      <c r="N261" s="1135"/>
      <c r="O261" s="1135"/>
      <c r="P261" s="1135"/>
    </row>
    <row r="262" spans="3:16">
      <c r="C262" s="1135"/>
      <c r="D262" s="1135"/>
      <c r="E262" s="1135"/>
      <c r="F262" s="1135"/>
      <c r="G262" s="1135"/>
      <c r="H262" s="1135"/>
      <c r="I262" s="1135"/>
      <c r="J262" s="1135"/>
      <c r="K262" s="1135"/>
      <c r="L262" s="1135"/>
      <c r="M262" s="1135"/>
      <c r="N262" s="1135"/>
      <c r="O262" s="1135"/>
      <c r="P262" s="1135"/>
    </row>
    <row r="263" spans="3:16">
      <c r="C263" s="1135"/>
      <c r="D263" s="1135"/>
      <c r="E263" s="1135"/>
      <c r="F263" s="1135"/>
      <c r="G263" s="1135"/>
      <c r="H263" s="1135"/>
      <c r="I263" s="1135"/>
      <c r="J263" s="1135"/>
      <c r="K263" s="1135"/>
      <c r="L263" s="1135"/>
      <c r="M263" s="1135"/>
      <c r="N263" s="1135"/>
      <c r="O263" s="1135"/>
      <c r="P263" s="1135"/>
    </row>
    <row r="264" spans="3:16">
      <c r="C264" s="1135"/>
      <c r="D264" s="1135"/>
      <c r="E264" s="1135"/>
      <c r="F264" s="1135"/>
      <c r="G264" s="1135"/>
      <c r="H264" s="1135"/>
      <c r="I264" s="1135"/>
      <c r="J264" s="1135"/>
      <c r="K264" s="1135"/>
      <c r="L264" s="1135"/>
      <c r="M264" s="1135"/>
      <c r="N264" s="1135"/>
      <c r="O264" s="1135"/>
      <c r="P264" s="1135"/>
    </row>
    <row r="265" spans="3:16">
      <c r="C265" s="1135"/>
      <c r="D265" s="1135"/>
      <c r="E265" s="1135"/>
      <c r="F265" s="1135"/>
      <c r="G265" s="1135"/>
      <c r="H265" s="1135"/>
      <c r="I265" s="1135"/>
      <c r="J265" s="1135"/>
      <c r="K265" s="1135"/>
      <c r="L265" s="1135"/>
      <c r="M265" s="1135"/>
      <c r="N265" s="1135"/>
      <c r="O265" s="1135"/>
      <c r="P265" s="1135"/>
    </row>
    <row r="266" spans="3:16">
      <c r="C266" s="1135"/>
      <c r="D266" s="1135"/>
      <c r="E266" s="1135"/>
      <c r="F266" s="1135"/>
      <c r="G266" s="1135"/>
      <c r="H266" s="1135"/>
      <c r="I266" s="1135"/>
      <c r="J266" s="1135"/>
      <c r="K266" s="1135"/>
      <c r="L266" s="1135"/>
      <c r="M266" s="1135"/>
      <c r="N266" s="1135"/>
      <c r="O266" s="1135"/>
      <c r="P266" s="1135"/>
    </row>
    <row r="267" spans="3:16">
      <c r="C267" s="1135"/>
      <c r="D267" s="1135"/>
      <c r="E267" s="1135"/>
      <c r="F267" s="1135"/>
      <c r="G267" s="1135"/>
      <c r="H267" s="1135"/>
      <c r="I267" s="1135"/>
      <c r="J267" s="1135"/>
      <c r="K267" s="1135"/>
      <c r="L267" s="1135"/>
      <c r="M267" s="1135"/>
      <c r="N267" s="1135"/>
      <c r="O267" s="1135"/>
      <c r="P267" s="1135"/>
    </row>
    <row r="268" spans="3:16">
      <c r="C268" s="1135"/>
      <c r="D268" s="1135"/>
      <c r="E268" s="1135"/>
      <c r="F268" s="1135"/>
      <c r="G268" s="1135"/>
      <c r="H268" s="1135"/>
      <c r="I268" s="1135"/>
      <c r="J268" s="1135"/>
      <c r="K268" s="1135"/>
      <c r="L268" s="1135"/>
      <c r="M268" s="1135"/>
      <c r="N268" s="1135"/>
      <c r="O268" s="1135"/>
      <c r="P268" s="1135"/>
    </row>
    <row r="269" spans="3:16">
      <c r="C269" s="1135"/>
      <c r="D269" s="1135"/>
      <c r="E269" s="1135"/>
      <c r="F269" s="1135"/>
      <c r="G269" s="1135"/>
      <c r="H269" s="1135"/>
      <c r="I269" s="1135"/>
      <c r="J269" s="1135"/>
      <c r="K269" s="1135"/>
      <c r="L269" s="1135"/>
      <c r="M269" s="1135"/>
      <c r="N269" s="1135"/>
      <c r="O269" s="1135"/>
      <c r="P269" s="1135"/>
    </row>
    <row r="270" spans="3:16">
      <c r="C270" s="1135"/>
      <c r="D270" s="1135"/>
      <c r="E270" s="1135"/>
      <c r="F270" s="1135"/>
      <c r="G270" s="1135"/>
      <c r="H270" s="1135"/>
      <c r="I270" s="1135"/>
      <c r="J270" s="1135"/>
      <c r="K270" s="1135"/>
      <c r="L270" s="1135"/>
      <c r="M270" s="1135"/>
      <c r="N270" s="1135"/>
      <c r="O270" s="1135"/>
      <c r="P270" s="1135"/>
    </row>
    <row r="271" spans="3:16">
      <c r="C271" s="1135"/>
      <c r="D271" s="1135"/>
      <c r="E271" s="1135"/>
      <c r="F271" s="1135"/>
      <c r="G271" s="1135"/>
      <c r="H271" s="1135"/>
      <c r="I271" s="1135"/>
      <c r="J271" s="1135"/>
      <c r="K271" s="1135"/>
      <c r="L271" s="1135"/>
      <c r="M271" s="1135"/>
      <c r="N271" s="1135"/>
      <c r="O271" s="1135"/>
      <c r="P271" s="1135"/>
    </row>
    <row r="272" spans="3:16">
      <c r="C272" s="1135"/>
      <c r="D272" s="1135"/>
      <c r="E272" s="1135"/>
      <c r="F272" s="1135"/>
      <c r="G272" s="1135"/>
      <c r="H272" s="1135"/>
      <c r="I272" s="1135"/>
      <c r="J272" s="1135"/>
      <c r="K272" s="1135"/>
      <c r="L272" s="1135"/>
      <c r="M272" s="1135"/>
      <c r="N272" s="1135"/>
      <c r="O272" s="1135"/>
      <c r="P272" s="1135"/>
    </row>
    <row r="273" spans="3:16">
      <c r="C273" s="1135"/>
      <c r="D273" s="1135"/>
      <c r="E273" s="1135"/>
      <c r="F273" s="1135"/>
      <c r="G273" s="1135"/>
      <c r="H273" s="1135"/>
      <c r="I273" s="1135"/>
      <c r="J273" s="1135"/>
      <c r="K273" s="1135"/>
      <c r="L273" s="1135"/>
      <c r="M273" s="1135"/>
      <c r="N273" s="1135"/>
      <c r="O273" s="1135"/>
      <c r="P273" s="1135"/>
    </row>
    <row r="274" spans="3:16">
      <c r="C274" s="1135"/>
      <c r="D274" s="1135"/>
      <c r="E274" s="1135"/>
      <c r="F274" s="1135"/>
      <c r="G274" s="1135"/>
      <c r="H274" s="1135"/>
      <c r="I274" s="1135"/>
      <c r="J274" s="1135"/>
      <c r="K274" s="1135"/>
      <c r="L274" s="1135"/>
      <c r="M274" s="1135"/>
      <c r="N274" s="1135"/>
      <c r="O274" s="1135"/>
      <c r="P274" s="1135"/>
    </row>
    <row r="275" spans="3:16">
      <c r="C275" s="1135"/>
      <c r="D275" s="1135"/>
      <c r="E275" s="1135"/>
      <c r="F275" s="1135"/>
      <c r="G275" s="1135"/>
      <c r="H275" s="1135"/>
      <c r="I275" s="1135"/>
      <c r="J275" s="1135"/>
      <c r="K275" s="1135"/>
      <c r="L275" s="1135"/>
      <c r="M275" s="1135"/>
      <c r="N275" s="1135"/>
      <c r="O275" s="1135"/>
      <c r="P275" s="1135"/>
    </row>
    <row r="276" spans="3:16">
      <c r="C276" s="1135"/>
      <c r="D276" s="1135"/>
      <c r="E276" s="1135"/>
      <c r="F276" s="1135"/>
      <c r="G276" s="1135"/>
      <c r="H276" s="1135"/>
      <c r="I276" s="1135"/>
      <c r="J276" s="1135"/>
      <c r="K276" s="1135"/>
      <c r="L276" s="1135"/>
      <c r="M276" s="1135"/>
      <c r="N276" s="1135"/>
      <c r="O276" s="1135"/>
      <c r="P276" s="1135"/>
    </row>
    <row r="277" spans="3:16">
      <c r="C277" s="1135"/>
      <c r="D277" s="1135"/>
      <c r="E277" s="1135"/>
      <c r="F277" s="1135"/>
      <c r="G277" s="1135"/>
      <c r="H277" s="1135"/>
      <c r="I277" s="1135"/>
      <c r="J277" s="1135"/>
      <c r="K277" s="1135"/>
      <c r="L277" s="1135"/>
      <c r="M277" s="1135"/>
      <c r="N277" s="1135"/>
      <c r="O277" s="1135"/>
      <c r="P277" s="1135"/>
    </row>
    <row r="278" spans="3:16">
      <c r="C278" s="1135"/>
      <c r="D278" s="1135"/>
      <c r="E278" s="1135"/>
      <c r="F278" s="1135"/>
      <c r="G278" s="1135"/>
      <c r="H278" s="1135"/>
      <c r="I278" s="1135"/>
      <c r="J278" s="1135"/>
      <c r="K278" s="1135"/>
      <c r="L278" s="1135"/>
      <c r="M278" s="1135"/>
      <c r="N278" s="1135"/>
      <c r="O278" s="1135"/>
      <c r="P278" s="1135"/>
    </row>
    <row r="279" spans="3:16">
      <c r="C279" s="1135"/>
      <c r="D279" s="1135"/>
      <c r="E279" s="1135"/>
      <c r="F279" s="1135"/>
      <c r="G279" s="1135"/>
      <c r="H279" s="1135"/>
      <c r="I279" s="1135"/>
      <c r="J279" s="1135"/>
      <c r="K279" s="1135"/>
      <c r="L279" s="1135"/>
      <c r="M279" s="1135"/>
      <c r="N279" s="1135"/>
      <c r="O279" s="1135"/>
      <c r="P279" s="1135"/>
    </row>
    <row r="280" spans="3:16">
      <c r="C280" s="1135"/>
      <c r="D280" s="1135"/>
      <c r="E280" s="1135"/>
      <c r="F280" s="1135"/>
      <c r="G280" s="1135"/>
      <c r="H280" s="1135"/>
      <c r="I280" s="1135"/>
      <c r="J280" s="1135"/>
      <c r="K280" s="1135"/>
      <c r="L280" s="1135"/>
      <c r="M280" s="1135"/>
      <c r="N280" s="1135"/>
      <c r="O280" s="1135"/>
      <c r="P280" s="1135"/>
    </row>
    <row r="281" spans="3:16">
      <c r="C281" s="1135"/>
      <c r="D281" s="1135"/>
      <c r="E281" s="1135"/>
      <c r="F281" s="1135"/>
      <c r="G281" s="1135"/>
      <c r="H281" s="1135"/>
      <c r="I281" s="1135"/>
      <c r="J281" s="1135"/>
      <c r="K281" s="1135"/>
      <c r="L281" s="1135"/>
      <c r="M281" s="1135"/>
      <c r="N281" s="1135"/>
      <c r="O281" s="1135"/>
      <c r="P281" s="1135"/>
    </row>
    <row r="282" spans="3:16">
      <c r="C282" s="1135"/>
      <c r="D282" s="1135"/>
      <c r="E282" s="1135"/>
      <c r="F282" s="1135"/>
      <c r="G282" s="1135"/>
      <c r="H282" s="1135"/>
      <c r="I282" s="1135"/>
      <c r="J282" s="1135"/>
      <c r="K282" s="1135"/>
      <c r="L282" s="1135"/>
      <c r="M282" s="1135"/>
      <c r="N282" s="1135"/>
      <c r="O282" s="1135"/>
      <c r="P282" s="1135"/>
    </row>
    <row r="283" spans="3:16">
      <c r="C283" s="1135"/>
      <c r="D283" s="1135"/>
      <c r="E283" s="1135"/>
      <c r="F283" s="1135"/>
      <c r="G283" s="1135"/>
      <c r="H283" s="1135"/>
      <c r="I283" s="1135"/>
      <c r="J283" s="1135"/>
      <c r="K283" s="1135"/>
      <c r="L283" s="1135"/>
      <c r="M283" s="1135"/>
      <c r="N283" s="1135"/>
      <c r="O283" s="1135"/>
      <c r="P283" s="1135"/>
    </row>
    <row r="284" spans="3:16">
      <c r="C284" s="1135"/>
      <c r="D284" s="1135"/>
      <c r="E284" s="1135"/>
      <c r="F284" s="1135"/>
      <c r="G284" s="1135"/>
      <c r="H284" s="1135"/>
      <c r="I284" s="1135"/>
      <c r="J284" s="1135"/>
      <c r="K284" s="1135"/>
      <c r="L284" s="1135"/>
      <c r="M284" s="1135"/>
      <c r="N284" s="1135"/>
      <c r="O284" s="1135"/>
      <c r="P284" s="1135"/>
    </row>
    <row r="285" spans="3:16">
      <c r="C285" s="1135"/>
      <c r="D285" s="1135"/>
      <c r="E285" s="1135"/>
      <c r="F285" s="1135"/>
      <c r="G285" s="1135"/>
      <c r="H285" s="1135"/>
      <c r="I285" s="1135"/>
      <c r="J285" s="1135"/>
      <c r="K285" s="1135"/>
      <c r="L285" s="1135"/>
      <c r="M285" s="1135"/>
      <c r="N285" s="1135"/>
      <c r="O285" s="1135"/>
      <c r="P285" s="1135"/>
    </row>
    <row r="286" spans="3:16">
      <c r="C286" s="1135"/>
      <c r="D286" s="1135"/>
      <c r="E286" s="1135"/>
      <c r="F286" s="1135"/>
      <c r="G286" s="1135"/>
      <c r="H286" s="1135"/>
      <c r="I286" s="1135"/>
      <c r="J286" s="1135"/>
      <c r="K286" s="1135"/>
      <c r="L286" s="1135"/>
      <c r="M286" s="1135"/>
      <c r="N286" s="1135"/>
      <c r="O286" s="1135"/>
      <c r="P286" s="1135"/>
    </row>
    <row r="287" spans="3:16">
      <c r="C287" s="1135"/>
      <c r="D287" s="1135"/>
      <c r="E287" s="1135"/>
      <c r="F287" s="1135"/>
      <c r="G287" s="1135"/>
      <c r="H287" s="1135"/>
      <c r="I287" s="1135"/>
      <c r="J287" s="1135"/>
      <c r="K287" s="1135"/>
      <c r="L287" s="1135"/>
      <c r="M287" s="1135"/>
      <c r="N287" s="1135"/>
      <c r="O287" s="1135"/>
      <c r="P287" s="1135"/>
    </row>
    <row r="288" spans="3:16">
      <c r="C288" s="1135"/>
      <c r="D288" s="1135"/>
      <c r="E288" s="1135"/>
      <c r="F288" s="1135"/>
      <c r="G288" s="1135"/>
      <c r="H288" s="1135"/>
      <c r="I288" s="1135"/>
      <c r="J288" s="1135"/>
      <c r="K288" s="1135"/>
      <c r="L288" s="1135"/>
      <c r="M288" s="1135"/>
      <c r="N288" s="1135"/>
      <c r="O288" s="1135"/>
      <c r="P288" s="1135"/>
    </row>
    <row r="289" spans="3:16">
      <c r="C289" s="1135"/>
      <c r="D289" s="1135"/>
      <c r="E289" s="1135"/>
      <c r="F289" s="1135"/>
      <c r="G289" s="1135"/>
      <c r="H289" s="1135"/>
      <c r="I289" s="1135"/>
      <c r="J289" s="1135"/>
      <c r="K289" s="1135"/>
      <c r="L289" s="1135"/>
      <c r="M289" s="1135"/>
      <c r="N289" s="1135"/>
      <c r="O289" s="1135"/>
      <c r="P289" s="1135"/>
    </row>
    <row r="290" spans="3:16">
      <c r="C290" s="1135"/>
      <c r="D290" s="1135"/>
      <c r="E290" s="1135"/>
      <c r="F290" s="1135"/>
      <c r="G290" s="1135"/>
      <c r="H290" s="1135"/>
      <c r="I290" s="1135"/>
      <c r="J290" s="1135"/>
      <c r="K290" s="1135"/>
      <c r="L290" s="1135"/>
      <c r="M290" s="1135"/>
      <c r="N290" s="1135"/>
      <c r="O290" s="1135"/>
      <c r="P290" s="1135"/>
    </row>
    <row r="291" spans="3:16">
      <c r="C291" s="1135"/>
      <c r="D291" s="1135"/>
      <c r="E291" s="1135"/>
      <c r="F291" s="1135"/>
      <c r="G291" s="1135"/>
      <c r="H291" s="1135"/>
      <c r="I291" s="1135"/>
      <c r="J291" s="1135"/>
      <c r="K291" s="1135"/>
      <c r="L291" s="1135"/>
      <c r="M291" s="1135"/>
      <c r="N291" s="1135"/>
      <c r="O291" s="1135"/>
      <c r="P291" s="1135"/>
    </row>
    <row r="292" spans="3:16">
      <c r="C292" s="1135"/>
      <c r="D292" s="1135"/>
      <c r="E292" s="1135"/>
      <c r="F292" s="1135"/>
      <c r="G292" s="1135"/>
      <c r="H292" s="1135"/>
      <c r="I292" s="1135"/>
      <c r="J292" s="1135"/>
      <c r="K292" s="1135"/>
      <c r="L292" s="1135"/>
      <c r="M292" s="1135"/>
      <c r="N292" s="1135"/>
      <c r="O292" s="1135"/>
      <c r="P292" s="1135"/>
    </row>
    <row r="293" spans="3:16">
      <c r="C293" s="1135"/>
      <c r="D293" s="1135"/>
      <c r="E293" s="1135"/>
      <c r="F293" s="1135"/>
      <c r="G293" s="1135"/>
      <c r="H293" s="1135"/>
      <c r="I293" s="1135"/>
      <c r="J293" s="1135"/>
      <c r="K293" s="1135"/>
      <c r="L293" s="1135"/>
      <c r="M293" s="1135"/>
      <c r="N293" s="1135"/>
      <c r="O293" s="1135"/>
      <c r="P293" s="1135"/>
    </row>
    <row r="294" spans="3:16">
      <c r="C294" s="1135"/>
      <c r="D294" s="1135"/>
      <c r="E294" s="1135"/>
      <c r="F294" s="1135"/>
      <c r="G294" s="1135"/>
      <c r="H294" s="1135"/>
      <c r="I294" s="1135"/>
      <c r="J294" s="1135"/>
      <c r="K294" s="1135"/>
      <c r="L294" s="1135"/>
      <c r="M294" s="1135"/>
      <c r="N294" s="1135"/>
      <c r="O294" s="1135"/>
      <c r="P294" s="1135"/>
    </row>
    <row r="295" spans="3:16">
      <c r="C295" s="1135"/>
      <c r="D295" s="1135"/>
      <c r="E295" s="1135"/>
      <c r="F295" s="1135"/>
      <c r="G295" s="1135"/>
      <c r="H295" s="1135"/>
      <c r="I295" s="1135"/>
      <c r="J295" s="1135"/>
      <c r="K295" s="1135"/>
      <c r="L295" s="1135"/>
      <c r="M295" s="1135"/>
      <c r="N295" s="1135"/>
      <c r="O295" s="1135"/>
      <c r="P295" s="1135"/>
    </row>
    <row r="296" spans="3:16">
      <c r="C296" s="1135"/>
      <c r="D296" s="1135"/>
      <c r="E296" s="1135"/>
      <c r="F296" s="1135"/>
      <c r="G296" s="1135"/>
      <c r="H296" s="1135"/>
      <c r="I296" s="1135"/>
      <c r="J296" s="1135"/>
      <c r="K296" s="1135"/>
      <c r="L296" s="1135"/>
      <c r="M296" s="1135"/>
      <c r="N296" s="1135"/>
      <c r="O296" s="1135"/>
      <c r="P296" s="1135"/>
    </row>
    <row r="297" spans="3:16">
      <c r="C297" s="1135"/>
      <c r="D297" s="1135"/>
      <c r="E297" s="1135"/>
      <c r="F297" s="1135"/>
      <c r="G297" s="1135"/>
      <c r="H297" s="1135"/>
      <c r="I297" s="1135"/>
      <c r="J297" s="1135"/>
      <c r="K297" s="1135"/>
      <c r="L297" s="1135"/>
      <c r="M297" s="1135"/>
      <c r="N297" s="1135"/>
      <c r="O297" s="1135"/>
      <c r="P297" s="1135"/>
    </row>
    <row r="298" spans="3:16">
      <c r="C298" s="1135"/>
      <c r="D298" s="1135"/>
      <c r="E298" s="1135"/>
      <c r="F298" s="1135"/>
      <c r="G298" s="1135"/>
      <c r="H298" s="1135"/>
      <c r="I298" s="1135"/>
      <c r="J298" s="1135"/>
      <c r="K298" s="1135"/>
      <c r="L298" s="1135"/>
      <c r="M298" s="1135"/>
      <c r="N298" s="1135"/>
      <c r="O298" s="1135"/>
      <c r="P298" s="1135"/>
    </row>
    <row r="299" spans="3:16">
      <c r="C299" s="1135"/>
      <c r="D299" s="1135"/>
      <c r="E299" s="1135"/>
      <c r="F299" s="1135"/>
      <c r="G299" s="1135"/>
      <c r="H299" s="1135"/>
      <c r="I299" s="1135"/>
      <c r="J299" s="1135"/>
      <c r="K299" s="1135"/>
      <c r="L299" s="1135"/>
      <c r="M299" s="1135"/>
      <c r="N299" s="1135"/>
      <c r="O299" s="1135"/>
      <c r="P299" s="1135"/>
    </row>
    <row r="300" spans="3:16">
      <c r="C300" s="1135"/>
      <c r="D300" s="1135"/>
      <c r="E300" s="1135"/>
      <c r="F300" s="1135"/>
      <c r="G300" s="1135"/>
      <c r="H300" s="1135"/>
      <c r="I300" s="1135"/>
      <c r="J300" s="1135"/>
      <c r="K300" s="1135"/>
      <c r="L300" s="1135"/>
      <c r="M300" s="1135"/>
      <c r="N300" s="1135"/>
      <c r="O300" s="1135"/>
      <c r="P300" s="1135"/>
    </row>
    <row r="301" spans="3:16">
      <c r="C301" s="1135"/>
      <c r="D301" s="1135"/>
      <c r="E301" s="1135"/>
      <c r="F301" s="1135"/>
      <c r="G301" s="1135"/>
      <c r="H301" s="1135"/>
      <c r="I301" s="1135"/>
      <c r="J301" s="1135"/>
      <c r="K301" s="1135"/>
      <c r="L301" s="1135"/>
      <c r="M301" s="1135"/>
      <c r="N301" s="1135"/>
      <c r="O301" s="1135"/>
      <c r="P301" s="1135"/>
    </row>
    <row r="302" spans="3:16">
      <c r="C302" s="1135"/>
      <c r="D302" s="1135"/>
      <c r="E302" s="1135"/>
      <c r="F302" s="1135"/>
      <c r="G302" s="1135"/>
      <c r="H302" s="1135"/>
      <c r="I302" s="1135"/>
      <c r="J302" s="1135"/>
      <c r="K302" s="1135"/>
      <c r="L302" s="1135"/>
      <c r="M302" s="1135"/>
      <c r="N302" s="1135"/>
      <c r="O302" s="1135"/>
      <c r="P302" s="1135"/>
    </row>
    <row r="303" spans="3:16">
      <c r="C303" s="1135"/>
      <c r="D303" s="1135"/>
      <c r="E303" s="1135"/>
      <c r="F303" s="1135"/>
      <c r="G303" s="1135"/>
      <c r="H303" s="1135"/>
      <c r="I303" s="1135"/>
      <c r="J303" s="1135"/>
      <c r="K303" s="1135"/>
      <c r="L303" s="1135"/>
      <c r="M303" s="1135"/>
      <c r="N303" s="1135"/>
      <c r="O303" s="1135"/>
      <c r="P303" s="1135"/>
    </row>
    <row r="304" spans="3:16">
      <c r="C304" s="1135"/>
      <c r="D304" s="1135"/>
      <c r="E304" s="1135"/>
      <c r="F304" s="1135"/>
      <c r="G304" s="1135"/>
      <c r="H304" s="1135"/>
      <c r="I304" s="1135"/>
      <c r="J304" s="1135"/>
      <c r="K304" s="1135"/>
      <c r="L304" s="1135"/>
      <c r="M304" s="1135"/>
      <c r="N304" s="1135"/>
      <c r="O304" s="1135"/>
      <c r="P304" s="1135"/>
    </row>
    <row r="305" spans="3:16">
      <c r="C305" s="1135"/>
      <c r="D305" s="1135"/>
      <c r="E305" s="1135"/>
      <c r="F305" s="1135"/>
      <c r="G305" s="1135"/>
      <c r="H305" s="1135"/>
      <c r="I305" s="1135"/>
      <c r="J305" s="1135"/>
      <c r="K305" s="1135"/>
      <c r="L305" s="1135"/>
      <c r="M305" s="1135"/>
      <c r="N305" s="1135"/>
      <c r="O305" s="1135"/>
      <c r="P305" s="1135"/>
    </row>
    <row r="306" spans="3:16">
      <c r="C306" s="1135"/>
      <c r="D306" s="1135"/>
      <c r="E306" s="1135"/>
      <c r="F306" s="1135"/>
      <c r="G306" s="1135"/>
      <c r="H306" s="1135"/>
      <c r="I306" s="1135"/>
      <c r="J306" s="1135"/>
      <c r="K306" s="1135"/>
      <c r="L306" s="1135"/>
      <c r="M306" s="1135"/>
      <c r="N306" s="1135"/>
      <c r="O306" s="1135"/>
      <c r="P306" s="1135"/>
    </row>
    <row r="307" spans="3:16">
      <c r="C307" s="1135"/>
      <c r="D307" s="1135"/>
      <c r="E307" s="1135"/>
      <c r="F307" s="1135"/>
      <c r="G307" s="1135"/>
      <c r="H307" s="1135"/>
      <c r="I307" s="1135"/>
      <c r="J307" s="1135"/>
      <c r="K307" s="1135"/>
      <c r="L307" s="1135"/>
      <c r="M307" s="1135"/>
      <c r="N307" s="1135"/>
      <c r="O307" s="1135"/>
      <c r="P307" s="1135"/>
    </row>
    <row r="308" spans="3:16">
      <c r="C308" s="1135"/>
      <c r="D308" s="1135"/>
      <c r="E308" s="1135"/>
      <c r="F308" s="1135"/>
      <c r="G308" s="1135"/>
      <c r="H308" s="1135"/>
      <c r="I308" s="1135"/>
      <c r="J308" s="1135"/>
      <c r="K308" s="1135"/>
      <c r="L308" s="1135"/>
      <c r="M308" s="1135"/>
      <c r="N308" s="1135"/>
      <c r="O308" s="1135"/>
      <c r="P308" s="1135"/>
    </row>
    <row r="309" spans="3:16">
      <c r="C309" s="1135"/>
      <c r="D309" s="1135"/>
      <c r="E309" s="1135"/>
      <c r="F309" s="1135"/>
      <c r="G309" s="1135"/>
      <c r="H309" s="1135"/>
      <c r="I309" s="1135"/>
      <c r="J309" s="1135"/>
      <c r="K309" s="1135"/>
      <c r="L309" s="1135"/>
      <c r="M309" s="1135"/>
      <c r="N309" s="1135"/>
      <c r="O309" s="1135"/>
      <c r="P309" s="1135"/>
    </row>
    <row r="310" spans="3:16">
      <c r="C310" s="1135"/>
      <c r="D310" s="1135"/>
      <c r="E310" s="1135"/>
      <c r="F310" s="1135"/>
      <c r="G310" s="1135"/>
      <c r="H310" s="1135"/>
      <c r="I310" s="1135"/>
      <c r="J310" s="1135"/>
      <c r="K310" s="1135"/>
      <c r="L310" s="1135"/>
      <c r="M310" s="1135"/>
      <c r="N310" s="1135"/>
      <c r="O310" s="1135"/>
      <c r="P310" s="1135"/>
    </row>
    <row r="311" spans="3:16">
      <c r="C311" s="1135"/>
      <c r="D311" s="1135"/>
      <c r="E311" s="1135"/>
      <c r="F311" s="1135"/>
      <c r="G311" s="1135"/>
      <c r="H311" s="1135"/>
      <c r="I311" s="1135"/>
      <c r="J311" s="1135"/>
      <c r="K311" s="1135"/>
      <c r="L311" s="1135"/>
      <c r="M311" s="1135"/>
      <c r="N311" s="1135"/>
      <c r="O311" s="1135"/>
      <c r="P311" s="1135"/>
    </row>
    <row r="312" spans="3:16">
      <c r="C312" s="1135"/>
      <c r="D312" s="1135"/>
      <c r="E312" s="1135"/>
      <c r="F312" s="1135"/>
      <c r="G312" s="1135"/>
      <c r="H312" s="1135"/>
      <c r="I312" s="1135"/>
      <c r="J312" s="1135"/>
      <c r="K312" s="1135"/>
      <c r="L312" s="1135"/>
      <c r="M312" s="1135"/>
      <c r="N312" s="1135"/>
      <c r="O312" s="1135"/>
      <c r="P312" s="1135"/>
    </row>
    <row r="313" spans="3:16">
      <c r="C313" s="1135"/>
      <c r="D313" s="1135"/>
      <c r="E313" s="1135"/>
      <c r="F313" s="1135"/>
      <c r="G313" s="1135"/>
      <c r="H313" s="1135"/>
      <c r="I313" s="1135"/>
      <c r="J313" s="1135"/>
      <c r="K313" s="1135"/>
      <c r="L313" s="1135"/>
      <c r="M313" s="1135"/>
      <c r="N313" s="1135"/>
      <c r="O313" s="1135"/>
      <c r="P313" s="1135"/>
    </row>
    <row r="314" spans="3:16">
      <c r="C314" s="1135"/>
      <c r="D314" s="1135"/>
      <c r="E314" s="1135"/>
      <c r="F314" s="1135"/>
      <c r="G314" s="1135"/>
      <c r="H314" s="1135"/>
      <c r="I314" s="1135"/>
      <c r="J314" s="1135"/>
      <c r="K314" s="1135"/>
      <c r="L314" s="1135"/>
      <c r="M314" s="1135"/>
      <c r="N314" s="1135"/>
      <c r="O314" s="1135"/>
      <c r="P314" s="1135"/>
    </row>
    <row r="315" spans="3:16">
      <c r="C315" s="1135"/>
      <c r="D315" s="1135"/>
      <c r="E315" s="1135"/>
      <c r="F315" s="1135"/>
      <c r="G315" s="1135"/>
      <c r="H315" s="1135"/>
      <c r="I315" s="1135"/>
      <c r="J315" s="1135"/>
      <c r="K315" s="1135"/>
      <c r="L315" s="1135"/>
      <c r="M315" s="1135"/>
      <c r="N315" s="1135"/>
      <c r="O315" s="1135"/>
      <c r="P315" s="1135"/>
    </row>
    <row r="316" spans="3:16">
      <c r="C316" s="1135"/>
      <c r="D316" s="1135"/>
      <c r="E316" s="1135"/>
      <c r="F316" s="1135"/>
      <c r="G316" s="1135"/>
      <c r="H316" s="1135"/>
      <c r="I316" s="1135"/>
      <c r="J316" s="1135"/>
      <c r="K316" s="1135"/>
      <c r="L316" s="1135"/>
      <c r="M316" s="1135"/>
      <c r="N316" s="1135"/>
      <c r="O316" s="1135"/>
      <c r="P316" s="1135"/>
    </row>
    <row r="317" spans="3:16">
      <c r="C317" s="1135"/>
      <c r="D317" s="1135"/>
      <c r="E317" s="1135"/>
      <c r="F317" s="1135"/>
      <c r="G317" s="1135"/>
      <c r="H317" s="1135"/>
      <c r="I317" s="1135"/>
      <c r="J317" s="1135"/>
      <c r="K317" s="1135"/>
      <c r="L317" s="1135"/>
      <c r="M317" s="1135"/>
      <c r="N317" s="1135"/>
      <c r="O317" s="1135"/>
      <c r="P317" s="1135"/>
    </row>
    <row r="318" spans="3:16">
      <c r="C318" s="1135"/>
      <c r="D318" s="1135"/>
      <c r="E318" s="1135"/>
      <c r="F318" s="1135"/>
      <c r="G318" s="1135"/>
      <c r="H318" s="1135"/>
      <c r="I318" s="1135"/>
      <c r="J318" s="1135"/>
      <c r="K318" s="1135"/>
      <c r="L318" s="1135"/>
      <c r="M318" s="1135"/>
      <c r="N318" s="1135"/>
      <c r="O318" s="1135"/>
      <c r="P318" s="1135"/>
    </row>
    <row r="319" spans="3:16">
      <c r="C319" s="1135"/>
      <c r="D319" s="1135"/>
      <c r="E319" s="1135"/>
      <c r="F319" s="1135"/>
      <c r="G319" s="1135"/>
      <c r="H319" s="1135"/>
      <c r="I319" s="1135"/>
      <c r="J319" s="1135"/>
      <c r="K319" s="1135"/>
      <c r="L319" s="1135"/>
      <c r="M319" s="1135"/>
      <c r="N319" s="1135"/>
      <c r="O319" s="1135"/>
      <c r="P319" s="1135"/>
    </row>
    <row r="320" spans="3:16">
      <c r="C320" s="1135"/>
      <c r="D320" s="1135"/>
      <c r="E320" s="1135"/>
      <c r="F320" s="1135"/>
      <c r="G320" s="1135"/>
      <c r="H320" s="1135"/>
      <c r="I320" s="1135"/>
      <c r="J320" s="1135"/>
      <c r="K320" s="1135"/>
      <c r="L320" s="1135"/>
      <c r="M320" s="1135"/>
      <c r="N320" s="1135"/>
      <c r="O320" s="1135"/>
      <c r="P320" s="1135"/>
    </row>
    <row r="321" spans="3:16">
      <c r="C321" s="1135"/>
      <c r="D321" s="1135"/>
      <c r="E321" s="1135"/>
      <c r="F321" s="1135"/>
      <c r="G321" s="1135"/>
      <c r="H321" s="1135"/>
      <c r="I321" s="1135"/>
      <c r="J321" s="1135"/>
      <c r="K321" s="1135"/>
      <c r="L321" s="1135"/>
      <c r="M321" s="1135"/>
      <c r="N321" s="1135"/>
      <c r="O321" s="1135"/>
      <c r="P321" s="1135"/>
    </row>
    <row r="322" spans="3:16">
      <c r="C322" s="1135"/>
      <c r="D322" s="1135"/>
      <c r="E322" s="1135"/>
      <c r="F322" s="1135"/>
      <c r="G322" s="1135"/>
      <c r="H322" s="1135"/>
      <c r="I322" s="1135"/>
      <c r="J322" s="1135"/>
      <c r="K322" s="1135"/>
      <c r="L322" s="1135"/>
      <c r="M322" s="1135"/>
      <c r="N322" s="1135"/>
      <c r="O322" s="1135"/>
      <c r="P322" s="1135"/>
    </row>
    <row r="323" spans="3:16">
      <c r="C323" s="1135"/>
      <c r="D323" s="1135"/>
      <c r="E323" s="1135"/>
      <c r="F323" s="1135"/>
      <c r="G323" s="1135"/>
      <c r="H323" s="1135"/>
      <c r="I323" s="1135"/>
      <c r="J323" s="1135"/>
      <c r="K323" s="1135"/>
      <c r="L323" s="1135"/>
      <c r="M323" s="1135"/>
      <c r="N323" s="1135"/>
      <c r="O323" s="1135"/>
      <c r="P323" s="1135"/>
    </row>
    <row r="324" spans="3:16">
      <c r="C324" s="1135"/>
      <c r="D324" s="1135"/>
      <c r="E324" s="1135"/>
      <c r="F324" s="1135"/>
      <c r="G324" s="1135"/>
      <c r="H324" s="1135"/>
      <c r="I324" s="1135"/>
      <c r="J324" s="1135"/>
      <c r="K324" s="1135"/>
      <c r="L324" s="1135"/>
      <c r="M324" s="1135"/>
      <c r="N324" s="1135"/>
      <c r="O324" s="1135"/>
      <c r="P324" s="1135"/>
    </row>
    <row r="325" spans="3:16">
      <c r="C325" s="1135"/>
      <c r="D325" s="1135"/>
      <c r="E325" s="1135"/>
      <c r="F325" s="1135"/>
      <c r="G325" s="1135"/>
      <c r="H325" s="1135"/>
      <c r="I325" s="1135"/>
      <c r="J325" s="1135"/>
      <c r="K325" s="1135"/>
      <c r="L325" s="1135"/>
      <c r="M325" s="1135"/>
      <c r="N325" s="1135"/>
      <c r="O325" s="1135"/>
      <c r="P325" s="1135"/>
    </row>
    <row r="326" spans="3:16">
      <c r="C326" s="1135"/>
      <c r="D326" s="1135"/>
      <c r="E326" s="1135"/>
      <c r="F326" s="1135"/>
      <c r="G326" s="1135"/>
      <c r="H326" s="1135"/>
      <c r="I326" s="1135"/>
      <c r="J326" s="1135"/>
      <c r="K326" s="1135"/>
      <c r="L326" s="1135"/>
      <c r="M326" s="1135"/>
      <c r="N326" s="1135"/>
      <c r="O326" s="1135"/>
      <c r="P326" s="1135"/>
    </row>
    <row r="327" spans="3:16">
      <c r="C327" s="1135"/>
      <c r="D327" s="1135"/>
      <c r="E327" s="1135"/>
      <c r="F327" s="1135"/>
      <c r="G327" s="1135"/>
      <c r="H327" s="1135"/>
      <c r="I327" s="1135"/>
      <c r="J327" s="1135"/>
      <c r="K327" s="1135"/>
      <c r="L327" s="1135"/>
      <c r="M327" s="1135"/>
      <c r="N327" s="1135"/>
      <c r="O327" s="1135"/>
      <c r="P327" s="1135"/>
    </row>
    <row r="328" spans="3:16">
      <c r="C328" s="1135"/>
      <c r="D328" s="1135"/>
      <c r="E328" s="1135"/>
      <c r="F328" s="1135"/>
      <c r="G328" s="1135"/>
      <c r="H328" s="1135"/>
      <c r="I328" s="1135"/>
      <c r="J328" s="1135"/>
      <c r="K328" s="1135"/>
      <c r="L328" s="1135"/>
      <c r="M328" s="1135"/>
      <c r="N328" s="1135"/>
      <c r="O328" s="1135"/>
      <c r="P328" s="1135"/>
    </row>
    <row r="329" spans="3:16">
      <c r="C329" s="1135"/>
      <c r="D329" s="1135"/>
      <c r="E329" s="1135"/>
      <c r="F329" s="1135"/>
      <c r="G329" s="1135"/>
      <c r="H329" s="1135"/>
      <c r="I329" s="1135"/>
      <c r="J329" s="1135"/>
      <c r="K329" s="1135"/>
      <c r="L329" s="1135"/>
      <c r="M329" s="1135"/>
      <c r="N329" s="1135"/>
      <c r="O329" s="1135"/>
      <c r="P329" s="1135"/>
    </row>
    <row r="330" spans="3:16">
      <c r="C330" s="1135"/>
      <c r="D330" s="1135"/>
      <c r="E330" s="1135"/>
      <c r="F330" s="1135"/>
      <c r="G330" s="1135"/>
      <c r="H330" s="1135"/>
      <c r="I330" s="1135"/>
      <c r="J330" s="1135"/>
      <c r="K330" s="1135"/>
      <c r="L330" s="1135"/>
      <c r="M330" s="1135"/>
      <c r="N330" s="1135"/>
      <c r="O330" s="1135"/>
      <c r="P330" s="1135"/>
    </row>
    <row r="331" spans="3:16">
      <c r="C331" s="1135"/>
      <c r="D331" s="1135"/>
      <c r="E331" s="1135"/>
      <c r="F331" s="1135"/>
      <c r="G331" s="1135"/>
      <c r="H331" s="1135"/>
      <c r="I331" s="1135"/>
      <c r="J331" s="1135"/>
      <c r="K331" s="1135"/>
      <c r="L331" s="1135"/>
      <c r="M331" s="1135"/>
      <c r="N331" s="1135"/>
      <c r="O331" s="1135"/>
      <c r="P331" s="1135"/>
    </row>
    <row r="332" spans="3:16">
      <c r="C332" s="1135"/>
      <c r="D332" s="1135"/>
      <c r="E332" s="1135"/>
      <c r="F332" s="1135"/>
      <c r="G332" s="1135"/>
      <c r="H332" s="1135"/>
      <c r="I332" s="1135"/>
      <c r="J332" s="1135"/>
      <c r="K332" s="1135"/>
      <c r="L332" s="1135"/>
      <c r="M332" s="1135"/>
      <c r="N332" s="1135"/>
      <c r="O332" s="1135"/>
      <c r="P332" s="1135"/>
    </row>
    <row r="333" spans="3:16">
      <c r="C333" s="1135"/>
      <c r="D333" s="1135"/>
      <c r="E333" s="1135"/>
      <c r="F333" s="1135"/>
      <c r="G333" s="1135"/>
      <c r="H333" s="1135"/>
      <c r="I333" s="1135"/>
      <c r="J333" s="1135"/>
      <c r="K333" s="1135"/>
      <c r="L333" s="1135"/>
      <c r="M333" s="1135"/>
      <c r="N333" s="1135"/>
      <c r="O333" s="1135"/>
      <c r="P333" s="1135"/>
    </row>
    <row r="334" spans="3:16">
      <c r="C334" s="1135"/>
      <c r="D334" s="1135"/>
      <c r="E334" s="1135"/>
      <c r="F334" s="1135"/>
      <c r="G334" s="1135"/>
      <c r="H334" s="1135"/>
      <c r="I334" s="1135"/>
      <c r="J334" s="1135"/>
      <c r="K334" s="1135"/>
      <c r="L334" s="1135"/>
      <c r="M334" s="1135"/>
      <c r="N334" s="1135"/>
      <c r="O334" s="1135"/>
      <c r="P334" s="1135"/>
    </row>
    <row r="335" spans="3:16">
      <c r="C335" s="1135"/>
      <c r="D335" s="1135"/>
      <c r="E335" s="1135"/>
      <c r="F335" s="1135"/>
      <c r="G335" s="1135"/>
      <c r="H335" s="1135"/>
      <c r="I335" s="1135"/>
      <c r="J335" s="1135"/>
      <c r="K335" s="1135"/>
      <c r="L335" s="1135"/>
      <c r="M335" s="1135"/>
      <c r="N335" s="1135"/>
      <c r="O335" s="1135"/>
      <c r="P335" s="1135"/>
    </row>
    <row r="336" spans="3:16">
      <c r="C336" s="1135"/>
      <c r="D336" s="1135"/>
      <c r="E336" s="1135"/>
      <c r="F336" s="1135"/>
      <c r="G336" s="1135"/>
      <c r="H336" s="1135"/>
      <c r="I336" s="1135"/>
      <c r="J336" s="1135"/>
      <c r="K336" s="1135"/>
      <c r="L336" s="1135"/>
      <c r="M336" s="1135"/>
      <c r="N336" s="1135"/>
      <c r="O336" s="1135"/>
      <c r="P336" s="1135"/>
    </row>
    <row r="337" spans="3:16">
      <c r="C337" s="1135"/>
      <c r="D337" s="1135"/>
      <c r="E337" s="1135"/>
      <c r="F337" s="1135"/>
      <c r="G337" s="1135"/>
      <c r="H337" s="1135"/>
      <c r="I337" s="1135"/>
      <c r="J337" s="1135"/>
      <c r="K337" s="1135"/>
      <c r="L337" s="1135"/>
      <c r="M337" s="1135"/>
      <c r="N337" s="1135"/>
      <c r="O337" s="1135"/>
      <c r="P337" s="1135"/>
    </row>
    <row r="338" spans="3:16">
      <c r="C338" s="1135"/>
      <c r="D338" s="1135"/>
      <c r="E338" s="1135"/>
      <c r="F338" s="1135"/>
      <c r="G338" s="1135"/>
      <c r="H338" s="1135"/>
      <c r="I338" s="1135"/>
      <c r="J338" s="1135"/>
      <c r="K338" s="1135"/>
      <c r="L338" s="1135"/>
      <c r="M338" s="1135"/>
      <c r="N338" s="1135"/>
      <c r="O338" s="1135"/>
      <c r="P338" s="1135"/>
    </row>
    <row r="339" spans="3:16">
      <c r="C339" s="1135"/>
      <c r="D339" s="1135"/>
      <c r="E339" s="1135"/>
      <c r="F339" s="1135"/>
      <c r="G339" s="1135"/>
      <c r="H339" s="1135"/>
      <c r="I339" s="1135"/>
      <c r="J339" s="1135"/>
      <c r="K339" s="1135"/>
      <c r="L339" s="1135"/>
      <c r="M339" s="1135"/>
      <c r="N339" s="1135"/>
      <c r="O339" s="1135"/>
      <c r="P339" s="1135"/>
    </row>
    <row r="340" spans="3:16">
      <c r="C340" s="1135"/>
      <c r="D340" s="1135"/>
      <c r="E340" s="1135"/>
      <c r="F340" s="1135"/>
      <c r="G340" s="1135"/>
      <c r="H340" s="1135"/>
      <c r="I340" s="1135"/>
      <c r="J340" s="1135"/>
      <c r="K340" s="1135"/>
      <c r="L340" s="1135"/>
      <c r="M340" s="1135"/>
      <c r="N340" s="1135"/>
      <c r="O340" s="1135"/>
      <c r="P340" s="1135"/>
    </row>
    <row r="341" spans="3:16">
      <c r="C341" s="1135"/>
      <c r="D341" s="1135"/>
      <c r="E341" s="1135"/>
      <c r="F341" s="1135"/>
      <c r="G341" s="1135"/>
      <c r="H341" s="1135"/>
      <c r="I341" s="1135"/>
      <c r="J341" s="1135"/>
      <c r="K341" s="1135"/>
      <c r="L341" s="1135"/>
      <c r="M341" s="1135"/>
      <c r="N341" s="1135"/>
      <c r="O341" s="1135"/>
      <c r="P341" s="1135"/>
    </row>
    <row r="342" spans="3:16">
      <c r="C342" s="1135"/>
      <c r="D342" s="1135"/>
      <c r="E342" s="1135"/>
      <c r="F342" s="1135"/>
      <c r="G342" s="1135"/>
      <c r="H342" s="1135"/>
      <c r="I342" s="1135"/>
      <c r="J342" s="1135"/>
      <c r="K342" s="1135"/>
      <c r="L342" s="1135"/>
      <c r="M342" s="1135"/>
      <c r="N342" s="1135"/>
      <c r="O342" s="1135"/>
      <c r="P342" s="1135"/>
    </row>
    <row r="343" spans="3:16">
      <c r="C343" s="1135"/>
      <c r="D343" s="1135"/>
      <c r="E343" s="1135"/>
      <c r="F343" s="1135"/>
      <c r="G343" s="1135"/>
      <c r="H343" s="1135"/>
      <c r="I343" s="1135"/>
      <c r="J343" s="1135"/>
      <c r="K343" s="1135"/>
      <c r="L343" s="1135"/>
      <c r="M343" s="1135"/>
      <c r="N343" s="1135"/>
      <c r="O343" s="1135"/>
      <c r="P343" s="1135"/>
    </row>
    <row r="344" spans="3:16">
      <c r="C344" s="1135"/>
      <c r="D344" s="1135"/>
      <c r="E344" s="1135"/>
      <c r="F344" s="1135"/>
      <c r="G344" s="1135"/>
      <c r="H344" s="1135"/>
      <c r="I344" s="1135"/>
      <c r="J344" s="1135"/>
      <c r="K344" s="1135"/>
      <c r="L344" s="1135"/>
      <c r="M344" s="1135"/>
      <c r="N344" s="1135"/>
      <c r="O344" s="1135"/>
      <c r="P344" s="1135"/>
    </row>
    <row r="345" spans="3:16">
      <c r="C345" s="1135"/>
      <c r="D345" s="1135"/>
      <c r="E345" s="1135"/>
      <c r="F345" s="1135"/>
      <c r="G345" s="1135"/>
      <c r="H345" s="1135"/>
      <c r="I345" s="1135"/>
      <c r="J345" s="1135"/>
      <c r="K345" s="1135"/>
      <c r="L345" s="1135"/>
      <c r="M345" s="1135"/>
      <c r="N345" s="1135"/>
      <c r="O345" s="1135"/>
      <c r="P345" s="1135"/>
    </row>
    <row r="346" spans="3:16">
      <c r="C346" s="1135"/>
      <c r="D346" s="1135"/>
      <c r="E346" s="1135"/>
      <c r="F346" s="1135"/>
      <c r="G346" s="1135"/>
      <c r="H346" s="1135"/>
      <c r="I346" s="1135"/>
      <c r="J346" s="1135"/>
      <c r="K346" s="1135"/>
      <c r="L346" s="1135"/>
      <c r="M346" s="1135"/>
      <c r="N346" s="1135"/>
      <c r="O346" s="1135"/>
      <c r="P346" s="1135"/>
    </row>
    <row r="347" spans="3:16">
      <c r="C347" s="1135"/>
      <c r="D347" s="1135"/>
      <c r="E347" s="1135"/>
      <c r="F347" s="1135"/>
      <c r="G347" s="1135"/>
      <c r="H347" s="1135"/>
      <c r="I347" s="1135"/>
      <c r="J347" s="1135"/>
      <c r="K347" s="1135"/>
      <c r="L347" s="1135"/>
      <c r="M347" s="1135"/>
      <c r="N347" s="1135"/>
      <c r="O347" s="1135"/>
      <c r="P347" s="1135"/>
    </row>
    <row r="348" spans="3:16">
      <c r="C348" s="1135"/>
      <c r="D348" s="1135"/>
      <c r="E348" s="1135"/>
      <c r="F348" s="1135"/>
      <c r="G348" s="1135"/>
      <c r="H348" s="1135"/>
      <c r="I348" s="1135"/>
      <c r="J348" s="1135"/>
      <c r="K348" s="1135"/>
      <c r="L348" s="1135"/>
      <c r="M348" s="1135"/>
      <c r="N348" s="1135"/>
      <c r="O348" s="1135"/>
      <c r="P348" s="1135"/>
    </row>
    <row r="349" spans="3:16">
      <c r="C349" s="1135"/>
      <c r="D349" s="1135"/>
      <c r="E349" s="1135"/>
      <c r="F349" s="1135"/>
      <c r="G349" s="1135"/>
      <c r="H349" s="1135"/>
      <c r="I349" s="1135"/>
      <c r="J349" s="1135"/>
      <c r="K349" s="1135"/>
      <c r="L349" s="1135"/>
      <c r="M349" s="1135"/>
      <c r="N349" s="1135"/>
      <c r="O349" s="1135"/>
      <c r="P349" s="1135"/>
    </row>
    <row r="350" spans="3:16">
      <c r="C350" s="1135"/>
      <c r="D350" s="1135"/>
      <c r="E350" s="1135"/>
      <c r="F350" s="1135"/>
      <c r="G350" s="1135"/>
      <c r="H350" s="1135"/>
      <c r="I350" s="1135"/>
      <c r="J350" s="1135"/>
      <c r="K350" s="1135"/>
      <c r="L350" s="1135"/>
      <c r="M350" s="1135"/>
      <c r="N350" s="1135"/>
      <c r="O350" s="1135"/>
      <c r="P350" s="1135"/>
    </row>
    <row r="351" spans="3:16">
      <c r="C351" s="1135"/>
      <c r="D351" s="1135"/>
      <c r="E351" s="1135"/>
      <c r="F351" s="1135"/>
      <c r="G351" s="1135"/>
      <c r="H351" s="1135"/>
      <c r="I351" s="1135"/>
      <c r="J351" s="1135"/>
      <c r="K351" s="1135"/>
      <c r="L351" s="1135"/>
      <c r="M351" s="1135"/>
      <c r="N351" s="1135"/>
      <c r="O351" s="1135"/>
      <c r="P351" s="1135"/>
    </row>
    <row r="352" spans="3:16">
      <c r="C352" s="1135"/>
      <c r="D352" s="1135"/>
      <c r="E352" s="1135"/>
      <c r="F352" s="1135"/>
      <c r="G352" s="1135"/>
      <c r="H352" s="1135"/>
      <c r="I352" s="1135"/>
      <c r="J352" s="1135"/>
      <c r="K352" s="1135"/>
      <c r="L352" s="1135"/>
      <c r="M352" s="1135"/>
      <c r="N352" s="1135"/>
      <c r="O352" s="1135"/>
      <c r="P352" s="1135"/>
    </row>
    <row r="353" spans="3:16">
      <c r="C353" s="1135"/>
      <c r="D353" s="1135"/>
      <c r="E353" s="1135"/>
      <c r="F353" s="1135"/>
      <c r="G353" s="1135"/>
      <c r="H353" s="1135"/>
      <c r="I353" s="1135"/>
      <c r="J353" s="1135"/>
      <c r="K353" s="1135"/>
      <c r="L353" s="1135"/>
      <c r="M353" s="1135"/>
      <c r="N353" s="1135"/>
      <c r="O353" s="1135"/>
      <c r="P353" s="1135"/>
    </row>
    <row r="354" spans="3:16">
      <c r="C354" s="1135"/>
      <c r="D354" s="1135"/>
      <c r="E354" s="1135"/>
      <c r="F354" s="1135"/>
      <c r="G354" s="1135"/>
      <c r="H354" s="1135"/>
      <c r="I354" s="1135"/>
      <c r="J354" s="1135"/>
      <c r="K354" s="1135"/>
      <c r="L354" s="1135"/>
      <c r="M354" s="1135"/>
      <c r="N354" s="1135"/>
      <c r="O354" s="1135"/>
      <c r="P354" s="1135"/>
    </row>
    <row r="355" spans="3:16">
      <c r="C355" s="1135"/>
      <c r="D355" s="1135"/>
      <c r="E355" s="1135"/>
      <c r="F355" s="1135"/>
      <c r="G355" s="1135"/>
      <c r="H355" s="1135"/>
      <c r="I355" s="1135"/>
      <c r="J355" s="1135"/>
      <c r="K355" s="1135"/>
      <c r="L355" s="1135"/>
      <c r="M355" s="1135"/>
      <c r="N355" s="1135"/>
      <c r="O355" s="1135"/>
      <c r="P355" s="1135"/>
    </row>
    <row r="356" spans="3:16">
      <c r="C356" s="1135"/>
      <c r="D356" s="1135"/>
      <c r="E356" s="1135"/>
      <c r="F356" s="1135"/>
      <c r="G356" s="1135"/>
      <c r="H356" s="1135"/>
      <c r="I356" s="1135"/>
      <c r="J356" s="1135"/>
      <c r="K356" s="1135"/>
      <c r="L356" s="1135"/>
      <c r="M356" s="1135"/>
      <c r="N356" s="1135"/>
      <c r="O356" s="1135"/>
      <c r="P356" s="1135"/>
    </row>
    <row r="357" spans="3:16">
      <c r="C357" s="1135"/>
      <c r="D357" s="1135"/>
      <c r="E357" s="1135"/>
      <c r="F357" s="1135"/>
      <c r="G357" s="1135"/>
      <c r="H357" s="1135"/>
      <c r="I357" s="1135"/>
      <c r="J357" s="1135"/>
      <c r="K357" s="1135"/>
      <c r="L357" s="1135"/>
      <c r="M357" s="1135"/>
      <c r="N357" s="1135"/>
      <c r="O357" s="1135"/>
      <c r="P357" s="1135"/>
    </row>
    <row r="358" spans="3:16">
      <c r="C358" s="1135"/>
      <c r="D358" s="1135"/>
      <c r="E358" s="1135"/>
      <c r="F358" s="1135"/>
      <c r="G358" s="1135"/>
      <c r="H358" s="1135"/>
      <c r="I358" s="1135"/>
      <c r="J358" s="1135"/>
      <c r="K358" s="1135"/>
      <c r="L358" s="1135"/>
      <c r="M358" s="1135"/>
      <c r="N358" s="1135"/>
      <c r="O358" s="1135"/>
      <c r="P358" s="1135"/>
    </row>
    <row r="359" spans="3:16">
      <c r="C359" s="1135"/>
      <c r="D359" s="1135"/>
      <c r="E359" s="1135"/>
      <c r="F359" s="1135"/>
      <c r="G359" s="1135"/>
      <c r="H359" s="1135"/>
      <c r="I359" s="1135"/>
      <c r="J359" s="1135"/>
      <c r="K359" s="1135"/>
      <c r="L359" s="1135"/>
      <c r="M359" s="1135"/>
      <c r="N359" s="1135"/>
      <c r="O359" s="1135"/>
      <c r="P359" s="1135"/>
    </row>
    <row r="360" spans="3:16">
      <c r="C360" s="1135"/>
      <c r="D360" s="1135"/>
      <c r="E360" s="1135"/>
      <c r="F360" s="1135"/>
      <c r="G360" s="1135"/>
      <c r="H360" s="1135"/>
      <c r="I360" s="1135"/>
      <c r="J360" s="1135"/>
      <c r="K360" s="1135"/>
      <c r="L360" s="1135"/>
      <c r="M360" s="1135"/>
      <c r="N360" s="1135"/>
      <c r="O360" s="1135"/>
      <c r="P360" s="1135"/>
    </row>
    <row r="361" spans="3:16">
      <c r="C361" s="1135"/>
      <c r="D361" s="1135"/>
      <c r="E361" s="1135"/>
      <c r="F361" s="1135"/>
      <c r="G361" s="1135"/>
      <c r="H361" s="1135"/>
      <c r="I361" s="1135"/>
      <c r="J361" s="1135"/>
      <c r="K361" s="1135"/>
      <c r="L361" s="1135"/>
      <c r="M361" s="1135"/>
      <c r="N361" s="1135"/>
      <c r="O361" s="1135"/>
      <c r="P361" s="1135"/>
    </row>
    <row r="362" spans="3:16">
      <c r="C362" s="1135"/>
      <c r="D362" s="1135"/>
      <c r="E362" s="1135"/>
      <c r="F362" s="1135"/>
      <c r="G362" s="1135"/>
      <c r="H362" s="1135"/>
      <c r="I362" s="1135"/>
      <c r="J362" s="1135"/>
      <c r="K362" s="1135"/>
      <c r="L362" s="1135"/>
      <c r="M362" s="1135"/>
      <c r="N362" s="1135"/>
      <c r="O362" s="1135"/>
      <c r="P362" s="1135"/>
    </row>
    <row r="363" spans="3:16">
      <c r="C363" s="1135"/>
      <c r="D363" s="1135"/>
      <c r="E363" s="1135"/>
      <c r="F363" s="1135"/>
      <c r="G363" s="1135"/>
      <c r="H363" s="1135"/>
      <c r="I363" s="1135"/>
      <c r="J363" s="1135"/>
      <c r="K363" s="1135"/>
      <c r="L363" s="1135"/>
      <c r="M363" s="1135"/>
      <c r="N363" s="1135"/>
      <c r="O363" s="1135"/>
      <c r="P363" s="1135"/>
    </row>
    <row r="364" spans="3:16">
      <c r="C364" s="1135"/>
      <c r="D364" s="1135"/>
      <c r="E364" s="1135"/>
      <c r="F364" s="1135"/>
      <c r="G364" s="1135"/>
      <c r="H364" s="1135"/>
      <c r="I364" s="1135"/>
      <c r="J364" s="1135"/>
      <c r="K364" s="1135"/>
      <c r="L364" s="1135"/>
      <c r="M364" s="1135"/>
      <c r="N364" s="1135"/>
      <c r="O364" s="1135"/>
      <c r="P364" s="1135"/>
    </row>
    <row r="365" spans="3:16">
      <c r="C365" s="1135"/>
      <c r="D365" s="1135"/>
      <c r="E365" s="1135"/>
      <c r="F365" s="1135"/>
      <c r="G365" s="1135"/>
      <c r="H365" s="1135"/>
      <c r="I365" s="1135"/>
      <c r="J365" s="1135"/>
      <c r="K365" s="1135"/>
      <c r="L365" s="1135"/>
      <c r="M365" s="1135"/>
      <c r="N365" s="1135"/>
      <c r="O365" s="1135"/>
      <c r="P365" s="1135"/>
    </row>
    <row r="366" spans="3:16">
      <c r="C366" s="1135"/>
      <c r="D366" s="1135"/>
      <c r="E366" s="1135"/>
      <c r="F366" s="1135"/>
      <c r="G366" s="1135"/>
      <c r="H366" s="1135"/>
      <c r="I366" s="1135"/>
      <c r="J366" s="1135"/>
      <c r="K366" s="1135"/>
      <c r="L366" s="1135"/>
      <c r="M366" s="1135"/>
      <c r="N366" s="1135"/>
      <c r="O366" s="1135"/>
      <c r="P366" s="1135"/>
    </row>
    <row r="367" spans="3:16">
      <c r="C367" s="1135"/>
      <c r="D367" s="1135"/>
      <c r="E367" s="1135"/>
      <c r="F367" s="1135"/>
      <c r="G367" s="1135"/>
      <c r="H367" s="1135"/>
      <c r="I367" s="1135"/>
      <c r="J367" s="1135"/>
      <c r="K367" s="1135"/>
      <c r="L367" s="1135"/>
      <c r="M367" s="1135"/>
      <c r="N367" s="1135"/>
      <c r="O367" s="1135"/>
      <c r="P367" s="1135"/>
    </row>
    <row r="368" spans="3:16">
      <c r="C368" s="1135"/>
      <c r="D368" s="1135"/>
      <c r="E368" s="1135"/>
      <c r="F368" s="1135"/>
      <c r="G368" s="1135"/>
      <c r="H368" s="1135"/>
      <c r="I368" s="1135"/>
      <c r="J368" s="1135"/>
      <c r="K368" s="1135"/>
      <c r="L368" s="1135"/>
      <c r="M368" s="1135"/>
      <c r="N368" s="1135"/>
      <c r="O368" s="1135"/>
      <c r="P368" s="1135"/>
    </row>
    <row r="369" spans="3:16">
      <c r="C369" s="1135"/>
      <c r="D369" s="1135"/>
      <c r="E369" s="1135"/>
      <c r="F369" s="1135"/>
      <c r="G369" s="1135"/>
      <c r="H369" s="1135"/>
      <c r="I369" s="1135"/>
      <c r="J369" s="1135"/>
      <c r="K369" s="1135"/>
      <c r="L369" s="1135"/>
      <c r="M369" s="1135"/>
      <c r="N369" s="1135"/>
      <c r="O369" s="1135"/>
      <c r="P369" s="1135"/>
    </row>
    <row r="370" spans="3:16">
      <c r="C370" s="1135"/>
      <c r="D370" s="1135"/>
      <c r="E370" s="1135"/>
      <c r="F370" s="1135"/>
      <c r="G370" s="1135"/>
      <c r="H370" s="1135"/>
      <c r="I370" s="1135"/>
      <c r="J370" s="1135"/>
      <c r="K370" s="1135"/>
      <c r="L370" s="1135"/>
      <c r="M370" s="1135"/>
      <c r="N370" s="1135"/>
      <c r="O370" s="1135"/>
      <c r="P370" s="1135"/>
    </row>
    <row r="371" spans="3:16">
      <c r="C371" s="1135"/>
      <c r="D371" s="1135"/>
      <c r="E371" s="1135"/>
      <c r="F371" s="1135"/>
      <c r="G371" s="1135"/>
      <c r="H371" s="1135"/>
      <c r="I371" s="1135"/>
      <c r="J371" s="1135"/>
      <c r="K371" s="1135"/>
      <c r="L371" s="1135"/>
      <c r="M371" s="1135"/>
      <c r="N371" s="1135"/>
      <c r="O371" s="1135"/>
      <c r="P371" s="1135"/>
    </row>
    <row r="372" spans="3:16">
      <c r="C372" s="1135"/>
      <c r="D372" s="1135"/>
      <c r="E372" s="1135"/>
      <c r="F372" s="1135"/>
      <c r="G372" s="1135"/>
      <c r="H372" s="1135"/>
      <c r="I372" s="1135"/>
      <c r="J372" s="1135"/>
      <c r="K372" s="1135"/>
      <c r="L372" s="1135"/>
      <c r="M372" s="1135"/>
      <c r="N372" s="1135"/>
      <c r="O372" s="1135"/>
      <c r="P372" s="1135"/>
    </row>
    <row r="373" spans="3:16">
      <c r="C373" s="1135"/>
      <c r="D373" s="1135"/>
      <c r="E373" s="1135"/>
      <c r="F373" s="1135"/>
      <c r="G373" s="1135"/>
      <c r="H373" s="1135"/>
      <c r="I373" s="1135"/>
      <c r="J373" s="1135"/>
      <c r="K373" s="1135"/>
      <c r="L373" s="1135"/>
      <c r="M373" s="1135"/>
      <c r="N373" s="1135"/>
      <c r="O373" s="1135"/>
      <c r="P373" s="1135"/>
    </row>
    <row r="374" spans="3:16">
      <c r="C374" s="1135"/>
      <c r="D374" s="1135"/>
      <c r="E374" s="1135"/>
      <c r="F374" s="1135"/>
      <c r="G374" s="1135"/>
      <c r="H374" s="1135"/>
      <c r="I374" s="1135"/>
      <c r="J374" s="1135"/>
      <c r="K374" s="1135"/>
      <c r="L374" s="1135"/>
      <c r="M374" s="1135"/>
      <c r="N374" s="1135"/>
      <c r="O374" s="1135"/>
      <c r="P374" s="1135"/>
    </row>
    <row r="375" spans="3:16">
      <c r="C375" s="1135"/>
      <c r="D375" s="1135"/>
      <c r="E375" s="1135"/>
      <c r="F375" s="1135"/>
      <c r="G375" s="1135"/>
      <c r="H375" s="1135"/>
      <c r="I375" s="1135"/>
      <c r="J375" s="1135"/>
      <c r="K375" s="1135"/>
      <c r="L375" s="1135"/>
      <c r="M375" s="1135"/>
      <c r="N375" s="1135"/>
      <c r="O375" s="1135"/>
      <c r="P375" s="1135"/>
    </row>
    <row r="376" spans="3:16">
      <c r="C376" s="1135"/>
      <c r="D376" s="1135"/>
      <c r="E376" s="1135"/>
      <c r="F376" s="1135"/>
      <c r="G376" s="1135"/>
      <c r="H376" s="1135"/>
      <c r="I376" s="1135"/>
      <c r="J376" s="1135"/>
      <c r="K376" s="1135"/>
      <c r="L376" s="1135"/>
      <c r="M376" s="1135"/>
      <c r="N376" s="1135"/>
      <c r="O376" s="1135"/>
      <c r="P376" s="1135"/>
    </row>
    <row r="377" spans="3:16">
      <c r="C377" s="1135"/>
      <c r="D377" s="1135"/>
      <c r="E377" s="1135"/>
      <c r="F377" s="1135"/>
      <c r="G377" s="1135"/>
      <c r="H377" s="1135"/>
      <c r="I377" s="1135"/>
      <c r="J377" s="1135"/>
      <c r="K377" s="1135"/>
      <c r="L377" s="1135"/>
      <c r="M377" s="1135"/>
      <c r="N377" s="1135"/>
      <c r="O377" s="1135"/>
      <c r="P377" s="1135"/>
    </row>
    <row r="378" spans="3:16">
      <c r="C378" s="1135"/>
      <c r="D378" s="1135"/>
      <c r="E378" s="1135"/>
      <c r="F378" s="1135"/>
      <c r="G378" s="1135"/>
      <c r="H378" s="1135"/>
      <c r="I378" s="1135"/>
      <c r="J378" s="1135"/>
      <c r="K378" s="1135"/>
      <c r="L378" s="1135"/>
      <c r="M378" s="1135"/>
      <c r="N378" s="1135"/>
      <c r="O378" s="1135"/>
      <c r="P378" s="1135"/>
    </row>
    <row r="379" spans="3:16">
      <c r="C379" s="1135"/>
      <c r="D379" s="1135"/>
      <c r="E379" s="1135"/>
      <c r="F379" s="1135"/>
      <c r="G379" s="1135"/>
      <c r="H379" s="1135"/>
      <c r="I379" s="1135"/>
      <c r="J379" s="1135"/>
      <c r="K379" s="1135"/>
      <c r="L379" s="1135"/>
      <c r="M379" s="1135"/>
      <c r="N379" s="1135"/>
      <c r="O379" s="1135"/>
      <c r="P379" s="1135"/>
    </row>
    <row r="380" spans="3:16">
      <c r="C380" s="1135"/>
      <c r="D380" s="1135"/>
      <c r="E380" s="1135"/>
      <c r="F380" s="1135"/>
      <c r="G380" s="1135"/>
      <c r="H380" s="1135"/>
      <c r="I380" s="1135"/>
      <c r="J380" s="1135"/>
      <c r="K380" s="1135"/>
      <c r="L380" s="1135"/>
      <c r="M380" s="1135"/>
      <c r="N380" s="1135"/>
      <c r="O380" s="1135"/>
      <c r="P380" s="1135"/>
    </row>
    <row r="381" spans="3:16">
      <c r="C381" s="1135"/>
      <c r="D381" s="1135"/>
      <c r="E381" s="1135"/>
      <c r="F381" s="1135"/>
      <c r="G381" s="1135"/>
      <c r="H381" s="1135"/>
      <c r="I381" s="1135"/>
      <c r="J381" s="1135"/>
      <c r="K381" s="1135"/>
      <c r="L381" s="1135"/>
      <c r="M381" s="1135"/>
      <c r="N381" s="1135"/>
      <c r="O381" s="1135"/>
      <c r="P381" s="1135"/>
    </row>
    <row r="382" spans="3:16">
      <c r="C382" s="1135"/>
      <c r="D382" s="1135"/>
      <c r="E382" s="1135"/>
      <c r="F382" s="1135"/>
      <c r="G382" s="1135"/>
      <c r="H382" s="1135"/>
      <c r="I382" s="1135"/>
      <c r="J382" s="1135"/>
      <c r="K382" s="1135"/>
      <c r="L382" s="1135"/>
      <c r="M382" s="1135"/>
      <c r="N382" s="1135"/>
      <c r="O382" s="1135"/>
      <c r="P382" s="1135"/>
    </row>
    <row r="383" spans="3:16">
      <c r="C383" s="1135"/>
      <c r="D383" s="1135"/>
      <c r="E383" s="1135"/>
      <c r="F383" s="1135"/>
      <c r="G383" s="1135"/>
      <c r="H383" s="1135"/>
      <c r="I383" s="1135"/>
      <c r="J383" s="1135"/>
      <c r="K383" s="1135"/>
      <c r="L383" s="1135"/>
      <c r="M383" s="1135"/>
      <c r="N383" s="1135"/>
      <c r="O383" s="1135"/>
      <c r="P383" s="1135"/>
    </row>
    <row r="384" spans="3:16">
      <c r="C384" s="1135"/>
      <c r="D384" s="1135"/>
      <c r="E384" s="1135"/>
      <c r="F384" s="1135"/>
      <c r="G384" s="1135"/>
      <c r="H384" s="1135"/>
      <c r="I384" s="1135"/>
      <c r="J384" s="1135"/>
      <c r="K384" s="1135"/>
      <c r="L384" s="1135"/>
      <c r="M384" s="1135"/>
      <c r="N384" s="1135"/>
      <c r="O384" s="1135"/>
      <c r="P384" s="1135"/>
    </row>
    <row r="385" spans="3:16">
      <c r="C385" s="1135"/>
      <c r="D385" s="1135"/>
      <c r="E385" s="1135"/>
      <c r="F385" s="1135"/>
      <c r="G385" s="1135"/>
      <c r="H385" s="1135"/>
      <c r="I385" s="1135"/>
      <c r="J385" s="1135"/>
      <c r="K385" s="1135"/>
      <c r="L385" s="1135"/>
      <c r="M385" s="1135"/>
      <c r="N385" s="1135"/>
      <c r="O385" s="1135"/>
      <c r="P385" s="1135"/>
    </row>
    <row r="386" spans="3:16">
      <c r="C386" s="1135"/>
      <c r="D386" s="1135"/>
      <c r="E386" s="1135"/>
      <c r="F386" s="1135"/>
      <c r="G386" s="1135"/>
      <c r="H386" s="1135"/>
      <c r="I386" s="1135"/>
      <c r="J386" s="1135"/>
      <c r="K386" s="1135"/>
      <c r="L386" s="1135"/>
      <c r="M386" s="1135"/>
      <c r="N386" s="1135"/>
      <c r="O386" s="1135"/>
      <c r="P386" s="1135"/>
    </row>
    <row r="387" spans="3:16">
      <c r="C387" s="1135"/>
      <c r="D387" s="1135"/>
      <c r="E387" s="1135"/>
      <c r="F387" s="1135"/>
      <c r="G387" s="1135"/>
      <c r="H387" s="1135"/>
      <c r="I387" s="1135"/>
      <c r="J387" s="1135"/>
      <c r="K387" s="1135"/>
      <c r="L387" s="1135"/>
      <c r="M387" s="1135"/>
      <c r="N387" s="1135"/>
      <c r="O387" s="1135"/>
      <c r="P387" s="1135"/>
    </row>
    <row r="388" spans="3:16">
      <c r="C388" s="1135"/>
      <c r="D388" s="1135"/>
      <c r="E388" s="1135"/>
      <c r="F388" s="1135"/>
      <c r="G388" s="1135"/>
      <c r="H388" s="1135"/>
      <c r="I388" s="1135"/>
      <c r="J388" s="1135"/>
      <c r="K388" s="1135"/>
      <c r="L388" s="1135"/>
      <c r="M388" s="1135"/>
      <c r="N388" s="1135"/>
      <c r="O388" s="1135"/>
      <c r="P388" s="1135"/>
    </row>
    <row r="389" spans="3:16">
      <c r="C389" s="1135"/>
      <c r="D389" s="1135"/>
      <c r="E389" s="1135"/>
      <c r="F389" s="1135"/>
      <c r="G389" s="1135"/>
      <c r="H389" s="1135"/>
      <c r="I389" s="1135"/>
      <c r="J389" s="1135"/>
      <c r="K389" s="1135"/>
      <c r="L389" s="1135"/>
      <c r="M389" s="1135"/>
      <c r="N389" s="1135"/>
      <c r="O389" s="1135"/>
      <c r="P389" s="1135"/>
    </row>
    <row r="390" spans="3:16">
      <c r="C390" s="1135"/>
      <c r="D390" s="1135"/>
      <c r="E390" s="1135"/>
      <c r="F390" s="1135"/>
      <c r="G390" s="1135"/>
      <c r="H390" s="1135"/>
      <c r="I390" s="1135"/>
      <c r="J390" s="1135"/>
      <c r="K390" s="1135"/>
      <c r="L390" s="1135"/>
      <c r="M390" s="1135"/>
      <c r="N390" s="1135"/>
      <c r="O390" s="1135"/>
      <c r="P390" s="1135"/>
    </row>
    <row r="391" spans="3:16">
      <c r="C391" s="1135"/>
      <c r="D391" s="1135"/>
      <c r="E391" s="1135"/>
      <c r="F391" s="1135"/>
      <c r="G391" s="1135"/>
      <c r="H391" s="1135"/>
      <c r="I391" s="1135"/>
      <c r="J391" s="1135"/>
      <c r="K391" s="1135"/>
      <c r="L391" s="1135"/>
      <c r="M391" s="1135"/>
      <c r="N391" s="1135"/>
      <c r="O391" s="1135"/>
      <c r="P391" s="1135"/>
    </row>
    <row r="392" spans="3:16">
      <c r="C392" s="1135"/>
      <c r="D392" s="1135"/>
      <c r="E392" s="1135"/>
      <c r="F392" s="1135"/>
      <c r="G392" s="1135"/>
      <c r="H392" s="1135"/>
      <c r="I392" s="1135"/>
      <c r="J392" s="1135"/>
      <c r="K392" s="1135"/>
      <c r="L392" s="1135"/>
      <c r="M392" s="1135"/>
      <c r="N392" s="1135"/>
      <c r="O392" s="1135"/>
      <c r="P392" s="1135"/>
    </row>
    <row r="393" spans="3:16">
      <c r="C393" s="1135"/>
      <c r="D393" s="1135"/>
      <c r="E393" s="1135"/>
      <c r="F393" s="1135"/>
      <c r="G393" s="1135"/>
      <c r="H393" s="1135"/>
      <c r="I393" s="1135"/>
      <c r="J393" s="1135"/>
      <c r="K393" s="1135"/>
      <c r="L393" s="1135"/>
      <c r="M393" s="1135"/>
      <c r="N393" s="1135"/>
      <c r="O393" s="1135"/>
      <c r="P393" s="1135"/>
    </row>
    <row r="394" spans="3:16">
      <c r="C394" s="1135"/>
      <c r="D394" s="1135"/>
      <c r="E394" s="1135"/>
      <c r="F394" s="1135"/>
      <c r="G394" s="1135"/>
      <c r="H394" s="1135"/>
      <c r="I394" s="1135"/>
      <c r="J394" s="1135"/>
      <c r="K394" s="1135"/>
      <c r="L394" s="1135"/>
      <c r="M394" s="1135"/>
      <c r="N394" s="1135"/>
      <c r="O394" s="1135"/>
      <c r="P394" s="1135"/>
    </row>
    <row r="395" spans="3:16">
      <c r="C395" s="1135"/>
      <c r="D395" s="1135"/>
      <c r="E395" s="1135"/>
      <c r="F395" s="1135"/>
      <c r="G395" s="1135"/>
      <c r="H395" s="1135"/>
      <c r="I395" s="1135"/>
      <c r="J395" s="1135"/>
      <c r="K395" s="1135"/>
      <c r="L395" s="1135"/>
      <c r="M395" s="1135"/>
      <c r="N395" s="1135"/>
      <c r="O395" s="1135"/>
      <c r="P395" s="1135"/>
    </row>
    <row r="396" spans="3:16">
      <c r="C396" s="1135"/>
      <c r="D396" s="1135"/>
      <c r="E396" s="1135"/>
      <c r="F396" s="1135"/>
      <c r="G396" s="1135"/>
      <c r="H396" s="1135"/>
      <c r="I396" s="1135"/>
      <c r="J396" s="1135"/>
      <c r="K396" s="1135"/>
      <c r="L396" s="1135"/>
      <c r="M396" s="1135"/>
      <c r="N396" s="1135"/>
      <c r="O396" s="1135"/>
      <c r="P396" s="1135"/>
    </row>
    <row r="397" spans="3:16">
      <c r="C397" s="1135"/>
      <c r="D397" s="1135"/>
      <c r="E397" s="1135"/>
      <c r="F397" s="1135"/>
      <c r="G397" s="1135"/>
      <c r="H397" s="1135"/>
      <c r="I397" s="1135"/>
      <c r="J397" s="1135"/>
      <c r="K397" s="1135"/>
      <c r="L397" s="1135"/>
      <c r="M397" s="1135"/>
      <c r="N397" s="1135"/>
      <c r="O397" s="1135"/>
      <c r="P397" s="1135"/>
    </row>
    <row r="398" spans="3:16">
      <c r="C398" s="1135"/>
      <c r="D398" s="1135"/>
      <c r="E398" s="1135"/>
      <c r="F398" s="1135"/>
      <c r="G398" s="1135"/>
      <c r="H398" s="1135"/>
      <c r="I398" s="1135"/>
      <c r="J398" s="1135"/>
      <c r="K398" s="1135"/>
      <c r="L398" s="1135"/>
      <c r="M398" s="1135"/>
      <c r="N398" s="1135"/>
      <c r="O398" s="1135"/>
      <c r="P398" s="1135"/>
    </row>
    <row r="399" spans="3:16">
      <c r="C399" s="1135"/>
      <c r="D399" s="1135"/>
      <c r="E399" s="1135"/>
      <c r="F399" s="1135"/>
      <c r="G399" s="1135"/>
      <c r="H399" s="1135"/>
      <c r="I399" s="1135"/>
      <c r="J399" s="1135"/>
      <c r="K399" s="1135"/>
      <c r="L399" s="1135"/>
      <c r="M399" s="1135"/>
      <c r="N399" s="1135"/>
      <c r="O399" s="1135"/>
      <c r="P399" s="1135"/>
    </row>
    <row r="400" spans="3:16">
      <c r="C400" s="1135"/>
      <c r="D400" s="1135"/>
      <c r="E400" s="1135"/>
      <c r="F400" s="1135"/>
      <c r="G400" s="1135"/>
      <c r="H400" s="1135"/>
      <c r="I400" s="1135"/>
      <c r="J400" s="1135"/>
      <c r="K400" s="1135"/>
      <c r="L400" s="1135"/>
      <c r="M400" s="1135"/>
      <c r="N400" s="1135"/>
      <c r="O400" s="1135"/>
      <c r="P400" s="1135"/>
    </row>
    <row r="401" spans="3:16">
      <c r="C401" s="1135"/>
      <c r="D401" s="1135"/>
      <c r="E401" s="1135"/>
      <c r="F401" s="1135"/>
      <c r="G401" s="1135"/>
      <c r="H401" s="1135"/>
      <c r="I401" s="1135"/>
      <c r="J401" s="1135"/>
      <c r="K401" s="1135"/>
      <c r="L401" s="1135"/>
      <c r="M401" s="1135"/>
      <c r="N401" s="1135"/>
      <c r="O401" s="1135"/>
      <c r="P401" s="1135"/>
    </row>
    <row r="402" spans="3:16">
      <c r="C402" s="1135"/>
      <c r="D402" s="1135"/>
      <c r="E402" s="1135"/>
      <c r="F402" s="1135"/>
      <c r="G402" s="1135"/>
      <c r="H402" s="1135"/>
      <c r="I402" s="1135"/>
      <c r="J402" s="1135"/>
      <c r="K402" s="1135"/>
      <c r="L402" s="1135"/>
      <c r="M402" s="1135"/>
      <c r="N402" s="1135"/>
      <c r="O402" s="1135"/>
      <c r="P402" s="1135"/>
    </row>
    <row r="403" spans="3:16">
      <c r="C403" s="1135"/>
      <c r="D403" s="1135"/>
      <c r="E403" s="1135"/>
      <c r="F403" s="1135"/>
      <c r="G403" s="1135"/>
      <c r="H403" s="1135"/>
      <c r="I403" s="1135"/>
      <c r="J403" s="1135"/>
      <c r="K403" s="1135"/>
      <c r="L403" s="1135"/>
      <c r="M403" s="1135"/>
      <c r="N403" s="1135"/>
      <c r="O403" s="1135"/>
      <c r="P403" s="1135"/>
    </row>
    <row r="404" spans="3:16">
      <c r="C404" s="1135"/>
      <c r="D404" s="1135"/>
      <c r="E404" s="1135"/>
      <c r="F404" s="1135"/>
      <c r="G404" s="1135"/>
      <c r="H404" s="1135"/>
      <c r="I404" s="1135"/>
      <c r="J404" s="1135"/>
      <c r="K404" s="1135"/>
      <c r="L404" s="1135"/>
      <c r="M404" s="1135"/>
      <c r="N404" s="1135"/>
      <c r="O404" s="1135"/>
      <c r="P404" s="1135"/>
    </row>
    <row r="405" spans="3:16">
      <c r="C405" s="1135"/>
      <c r="D405" s="1135"/>
      <c r="E405" s="1135"/>
      <c r="F405" s="1135"/>
      <c r="G405" s="1135"/>
      <c r="H405" s="1135"/>
      <c r="I405" s="1135"/>
      <c r="J405" s="1135"/>
      <c r="K405" s="1135"/>
      <c r="L405" s="1135"/>
      <c r="M405" s="1135"/>
      <c r="N405" s="1135"/>
      <c r="O405" s="1135"/>
      <c r="P405" s="1135"/>
    </row>
    <row r="406" spans="3:16">
      <c r="C406" s="1135"/>
      <c r="D406" s="1135"/>
      <c r="E406" s="1135"/>
      <c r="F406" s="1135"/>
      <c r="G406" s="1135"/>
      <c r="H406" s="1135"/>
      <c r="I406" s="1135"/>
      <c r="J406" s="1135"/>
      <c r="K406" s="1135"/>
      <c r="L406" s="1135"/>
      <c r="M406" s="1135"/>
      <c r="N406" s="1135"/>
      <c r="O406" s="1135"/>
      <c r="P406" s="1135"/>
    </row>
    <row r="407" spans="3:16">
      <c r="C407" s="1135"/>
      <c r="D407" s="1135"/>
      <c r="E407" s="1135"/>
      <c r="F407" s="1135"/>
      <c r="G407" s="1135"/>
      <c r="H407" s="1135"/>
      <c r="I407" s="1135"/>
      <c r="J407" s="1135"/>
      <c r="K407" s="1135"/>
      <c r="L407" s="1135"/>
      <c r="M407" s="1135"/>
      <c r="N407" s="1135"/>
      <c r="O407" s="1135"/>
      <c r="P407" s="1135"/>
    </row>
    <row r="408" spans="3:16">
      <c r="C408" s="1135"/>
      <c r="D408" s="1135"/>
      <c r="E408" s="1135"/>
      <c r="F408" s="1135"/>
      <c r="G408" s="1135"/>
      <c r="H408" s="1135"/>
      <c r="I408" s="1135"/>
      <c r="J408" s="1135"/>
      <c r="K408" s="1135"/>
      <c r="L408" s="1135"/>
      <c r="M408" s="1135"/>
      <c r="N408" s="1135"/>
      <c r="O408" s="1135"/>
      <c r="P408" s="1135"/>
    </row>
    <row r="409" spans="3:16">
      <c r="C409" s="1135"/>
      <c r="D409" s="1135"/>
      <c r="E409" s="1135"/>
      <c r="F409" s="1135"/>
      <c r="G409" s="1135"/>
      <c r="H409" s="1135"/>
      <c r="I409" s="1135"/>
      <c r="J409" s="1135"/>
      <c r="K409" s="1135"/>
      <c r="L409" s="1135"/>
      <c r="M409" s="1135"/>
      <c r="N409" s="1135"/>
      <c r="O409" s="1135"/>
      <c r="P409" s="1135"/>
    </row>
    <row r="410" spans="3:16">
      <c r="C410" s="1135"/>
      <c r="D410" s="1135"/>
      <c r="E410" s="1135"/>
      <c r="F410" s="1135"/>
      <c r="G410" s="1135"/>
      <c r="H410" s="1135"/>
      <c r="I410" s="1135"/>
      <c r="J410" s="1135"/>
      <c r="K410" s="1135"/>
      <c r="L410" s="1135"/>
      <c r="M410" s="1135"/>
      <c r="N410" s="1135"/>
      <c r="O410" s="1135"/>
      <c r="P410" s="1135"/>
    </row>
    <row r="411" spans="3:16">
      <c r="C411" s="1135"/>
      <c r="D411" s="1135"/>
      <c r="E411" s="1135"/>
      <c r="F411" s="1135"/>
      <c r="G411" s="1135"/>
      <c r="H411" s="1135"/>
      <c r="I411" s="1135"/>
      <c r="J411" s="1135"/>
      <c r="K411" s="1135"/>
      <c r="L411" s="1135"/>
      <c r="M411" s="1135"/>
      <c r="N411" s="1135"/>
      <c r="O411" s="1135"/>
      <c r="P411" s="1135"/>
    </row>
    <row r="412" spans="3:16">
      <c r="C412" s="1135"/>
      <c r="D412" s="1135"/>
      <c r="E412" s="1135"/>
      <c r="F412" s="1135"/>
      <c r="G412" s="1135"/>
      <c r="H412" s="1135"/>
      <c r="I412" s="1135"/>
      <c r="J412" s="1135"/>
      <c r="K412" s="1135"/>
      <c r="L412" s="1135"/>
      <c r="M412" s="1135"/>
      <c r="N412" s="1135"/>
      <c r="O412" s="1135"/>
      <c r="P412" s="1135"/>
    </row>
    <row r="413" spans="3:16">
      <c r="C413" s="1135"/>
      <c r="D413" s="1135"/>
      <c r="E413" s="1135"/>
      <c r="F413" s="1135"/>
      <c r="G413" s="1135"/>
      <c r="H413" s="1135"/>
      <c r="I413" s="1135"/>
      <c r="J413" s="1135"/>
      <c r="K413" s="1135"/>
      <c r="L413" s="1135"/>
      <c r="M413" s="1135"/>
      <c r="N413" s="1135"/>
      <c r="O413" s="1135"/>
      <c r="P413" s="1135"/>
    </row>
    <row r="414" spans="3:16">
      <c r="C414" s="1135"/>
      <c r="D414" s="1135"/>
      <c r="E414" s="1135"/>
      <c r="F414" s="1135"/>
      <c r="G414" s="1135"/>
      <c r="H414" s="1135"/>
      <c r="I414" s="1135"/>
      <c r="J414" s="1135"/>
      <c r="K414" s="1135"/>
      <c r="L414" s="1135"/>
      <c r="M414" s="1135"/>
      <c r="N414" s="1135"/>
      <c r="O414" s="1135"/>
      <c r="P414" s="1135"/>
    </row>
    <row r="415" spans="3:16">
      <c r="C415" s="1135"/>
      <c r="D415" s="1135"/>
      <c r="E415" s="1135"/>
      <c r="F415" s="1135"/>
      <c r="G415" s="1135"/>
      <c r="H415" s="1135"/>
      <c r="I415" s="1135"/>
      <c r="J415" s="1135"/>
      <c r="K415" s="1135"/>
      <c r="L415" s="1135"/>
      <c r="M415" s="1135"/>
      <c r="N415" s="1135"/>
      <c r="O415" s="1135"/>
      <c r="P415" s="1135"/>
    </row>
    <row r="416" spans="3:16">
      <c r="C416" s="1135"/>
      <c r="D416" s="1135"/>
      <c r="E416" s="1135"/>
      <c r="F416" s="1135"/>
      <c r="G416" s="1135"/>
      <c r="H416" s="1135"/>
      <c r="I416" s="1135"/>
      <c r="J416" s="1135"/>
      <c r="K416" s="1135"/>
      <c r="L416" s="1135"/>
      <c r="M416" s="1135"/>
      <c r="N416" s="1135"/>
      <c r="O416" s="1135"/>
      <c r="P416" s="1135"/>
    </row>
    <row r="417" spans="3:16">
      <c r="C417" s="1135"/>
      <c r="D417" s="1135"/>
      <c r="E417" s="1135"/>
      <c r="F417" s="1135"/>
      <c r="G417" s="1135"/>
      <c r="H417" s="1135"/>
      <c r="I417" s="1135"/>
      <c r="J417" s="1135"/>
      <c r="K417" s="1135"/>
      <c r="L417" s="1135"/>
      <c r="M417" s="1135"/>
      <c r="N417" s="1135"/>
      <c r="O417" s="1135"/>
      <c r="P417" s="1135"/>
    </row>
    <row r="418" spans="3:16">
      <c r="C418" s="1135"/>
      <c r="D418" s="1135"/>
      <c r="E418" s="1135"/>
      <c r="F418" s="1135"/>
      <c r="G418" s="1135"/>
      <c r="H418" s="1135"/>
      <c r="I418" s="1135"/>
      <c r="J418" s="1135"/>
      <c r="K418" s="1135"/>
      <c r="L418" s="1135"/>
      <c r="M418" s="1135"/>
      <c r="N418" s="1135"/>
      <c r="O418" s="1135"/>
      <c r="P418" s="1135"/>
    </row>
    <row r="419" spans="3:16">
      <c r="C419" s="1135"/>
      <c r="D419" s="1135"/>
      <c r="E419" s="1135"/>
      <c r="F419" s="1135"/>
      <c r="G419" s="1135"/>
      <c r="H419" s="1135"/>
      <c r="I419" s="1135"/>
      <c r="J419" s="1135"/>
      <c r="K419" s="1135"/>
      <c r="L419" s="1135"/>
      <c r="M419" s="1135"/>
      <c r="N419" s="1135"/>
      <c r="O419" s="1135"/>
      <c r="P419" s="1135"/>
    </row>
    <row r="420" spans="3:16">
      <c r="C420" s="1135"/>
      <c r="D420" s="1135"/>
      <c r="E420" s="1135"/>
      <c r="F420" s="1135"/>
      <c r="G420" s="1135"/>
      <c r="H420" s="1135"/>
      <c r="I420" s="1135"/>
      <c r="J420" s="1135"/>
      <c r="K420" s="1135"/>
      <c r="L420" s="1135"/>
      <c r="M420" s="1135"/>
      <c r="N420" s="1135"/>
      <c r="O420" s="1135"/>
      <c r="P420" s="1135"/>
    </row>
    <row r="421" spans="3:16">
      <c r="C421" s="1135"/>
      <c r="D421" s="1135"/>
      <c r="E421" s="1135"/>
      <c r="F421" s="1135"/>
      <c r="G421" s="1135"/>
      <c r="H421" s="1135"/>
      <c r="I421" s="1135"/>
      <c r="J421" s="1135"/>
      <c r="K421" s="1135"/>
      <c r="L421" s="1135"/>
      <c r="M421" s="1135"/>
      <c r="N421" s="1135"/>
      <c r="O421" s="1135"/>
      <c r="P421" s="1135"/>
    </row>
    <row r="422" spans="3:16">
      <c r="C422" s="1135"/>
      <c r="D422" s="1135"/>
      <c r="E422" s="1135"/>
      <c r="F422" s="1135"/>
      <c r="G422" s="1135"/>
      <c r="H422" s="1135"/>
      <c r="I422" s="1135"/>
      <c r="J422" s="1135"/>
      <c r="K422" s="1135"/>
      <c r="L422" s="1135"/>
      <c r="M422" s="1135"/>
      <c r="N422" s="1135"/>
      <c r="O422" s="1135"/>
      <c r="P422" s="1135"/>
    </row>
    <row r="423" spans="3:16">
      <c r="C423" s="1135"/>
      <c r="D423" s="1135"/>
      <c r="E423" s="1135"/>
      <c r="F423" s="1135"/>
      <c r="G423" s="1135"/>
      <c r="H423" s="1135"/>
      <c r="I423" s="1135"/>
      <c r="J423" s="1135"/>
      <c r="K423" s="1135"/>
      <c r="L423" s="1135"/>
      <c r="M423" s="1135"/>
      <c r="N423" s="1135"/>
      <c r="O423" s="1135"/>
      <c r="P423" s="1135"/>
    </row>
    <row r="424" spans="3:16">
      <c r="C424" s="1135"/>
      <c r="D424" s="1135"/>
      <c r="E424" s="1135"/>
      <c r="F424" s="1135"/>
      <c r="G424" s="1135"/>
      <c r="H424" s="1135"/>
      <c r="I424" s="1135"/>
      <c r="J424" s="1135"/>
      <c r="K424" s="1135"/>
      <c r="L424" s="1135"/>
      <c r="M424" s="1135"/>
      <c r="N424" s="1135"/>
      <c r="O424" s="1135"/>
      <c r="P424" s="1135"/>
    </row>
    <row r="425" spans="3:16">
      <c r="C425" s="1135"/>
      <c r="D425" s="1135"/>
      <c r="E425" s="1135"/>
      <c r="F425" s="1135"/>
      <c r="G425" s="1135"/>
      <c r="H425" s="1135"/>
      <c r="I425" s="1135"/>
      <c r="J425" s="1135"/>
      <c r="K425" s="1135"/>
      <c r="L425" s="1135"/>
      <c r="M425" s="1135"/>
      <c r="N425" s="1135"/>
      <c r="O425" s="1135"/>
      <c r="P425" s="1135"/>
    </row>
    <row r="426" spans="3:16">
      <c r="C426" s="1135"/>
      <c r="D426" s="1135"/>
      <c r="E426" s="1135"/>
      <c r="F426" s="1135"/>
      <c r="G426" s="1135"/>
      <c r="H426" s="1135"/>
      <c r="I426" s="1135"/>
      <c r="J426" s="1135"/>
      <c r="K426" s="1135"/>
      <c r="L426" s="1135"/>
      <c r="M426" s="1135"/>
      <c r="N426" s="1135"/>
      <c r="O426" s="1135"/>
      <c r="P426" s="1135"/>
    </row>
    <row r="427" spans="3:16">
      <c r="C427" s="1135"/>
      <c r="D427" s="1135"/>
      <c r="E427" s="1135"/>
      <c r="F427" s="1135"/>
      <c r="G427" s="1135"/>
      <c r="H427" s="1135"/>
      <c r="I427" s="1135"/>
      <c r="J427" s="1135"/>
      <c r="K427" s="1135"/>
      <c r="L427" s="1135"/>
      <c r="M427" s="1135"/>
      <c r="N427" s="1135"/>
      <c r="O427" s="1135"/>
      <c r="P427" s="1135"/>
    </row>
    <row r="428" spans="3:16">
      <c r="C428" s="1135"/>
      <c r="D428" s="1135"/>
      <c r="E428" s="1135"/>
      <c r="F428" s="1135"/>
      <c r="G428" s="1135"/>
      <c r="H428" s="1135"/>
      <c r="I428" s="1135"/>
      <c r="J428" s="1135"/>
      <c r="K428" s="1135"/>
      <c r="L428" s="1135"/>
      <c r="M428" s="1135"/>
      <c r="N428" s="1135"/>
      <c r="O428" s="1135"/>
      <c r="P428" s="1135"/>
    </row>
    <row r="429" spans="3:16">
      <c r="C429" s="1135"/>
      <c r="D429" s="1135"/>
      <c r="E429" s="1135"/>
      <c r="F429" s="1135"/>
      <c r="G429" s="1135"/>
      <c r="H429" s="1135"/>
      <c r="I429" s="1135"/>
      <c r="J429" s="1135"/>
      <c r="K429" s="1135"/>
      <c r="L429" s="1135"/>
      <c r="M429" s="1135"/>
      <c r="N429" s="1135"/>
      <c r="O429" s="1135"/>
      <c r="P429" s="1135"/>
    </row>
    <row r="430" spans="3:16">
      <c r="C430" s="1135"/>
      <c r="D430" s="1135"/>
      <c r="E430" s="1135"/>
      <c r="F430" s="1135"/>
      <c r="G430" s="1135"/>
      <c r="H430" s="1135"/>
      <c r="I430" s="1135"/>
      <c r="J430" s="1135"/>
      <c r="K430" s="1135"/>
      <c r="L430" s="1135"/>
      <c r="M430" s="1135"/>
      <c r="N430" s="1135"/>
      <c r="O430" s="1135"/>
      <c r="P430" s="1135"/>
    </row>
    <row r="431" spans="3:16">
      <c r="C431" s="1135"/>
      <c r="D431" s="1135"/>
      <c r="E431" s="1135"/>
      <c r="F431" s="1135"/>
      <c r="G431" s="1135"/>
      <c r="H431" s="1135"/>
      <c r="I431" s="1135"/>
      <c r="J431" s="1135"/>
      <c r="K431" s="1135"/>
      <c r="L431" s="1135"/>
      <c r="M431" s="1135"/>
      <c r="N431" s="1135"/>
      <c r="O431" s="1135"/>
      <c r="P431" s="1135"/>
    </row>
    <row r="432" spans="3:16">
      <c r="C432" s="1135"/>
      <c r="D432" s="1135"/>
      <c r="E432" s="1135"/>
      <c r="F432" s="1135"/>
      <c r="G432" s="1135"/>
      <c r="H432" s="1135"/>
      <c r="I432" s="1135"/>
      <c r="J432" s="1135"/>
      <c r="K432" s="1135"/>
      <c r="L432" s="1135"/>
      <c r="M432" s="1135"/>
      <c r="N432" s="1135"/>
      <c r="O432" s="1135"/>
      <c r="P432" s="1135"/>
    </row>
    <row r="433" spans="3:16">
      <c r="C433" s="1135"/>
      <c r="D433" s="1135"/>
      <c r="E433" s="1135"/>
      <c r="F433" s="1135"/>
      <c r="G433" s="1135"/>
      <c r="H433" s="1135"/>
      <c r="I433" s="1135"/>
      <c r="J433" s="1135"/>
      <c r="K433" s="1135"/>
      <c r="L433" s="1135"/>
      <c r="M433" s="1135"/>
      <c r="N433" s="1135"/>
      <c r="O433" s="1135"/>
      <c r="P433" s="1135"/>
    </row>
    <row r="434" spans="3:16">
      <c r="C434" s="1135"/>
      <c r="D434" s="1135"/>
      <c r="E434" s="1135"/>
      <c r="F434" s="1135"/>
      <c r="G434" s="1135"/>
      <c r="H434" s="1135"/>
      <c r="I434" s="1135"/>
      <c r="J434" s="1135"/>
      <c r="K434" s="1135"/>
      <c r="L434" s="1135"/>
      <c r="M434" s="1135"/>
      <c r="N434" s="1135"/>
      <c r="O434" s="1135"/>
      <c r="P434" s="1135"/>
    </row>
    <row r="435" spans="3:16">
      <c r="C435" s="1135"/>
      <c r="D435" s="1135"/>
      <c r="E435" s="1135"/>
      <c r="F435" s="1135"/>
      <c r="G435" s="1135"/>
      <c r="H435" s="1135"/>
      <c r="I435" s="1135"/>
      <c r="J435" s="1135"/>
      <c r="K435" s="1135"/>
      <c r="L435" s="1135"/>
      <c r="M435" s="1135"/>
      <c r="N435" s="1135"/>
      <c r="O435" s="1135"/>
      <c r="P435" s="1135"/>
    </row>
    <row r="436" spans="3:16">
      <c r="C436" s="1135"/>
      <c r="D436" s="1135"/>
      <c r="E436" s="1135"/>
      <c r="F436" s="1135"/>
      <c r="G436" s="1135"/>
      <c r="H436" s="1135"/>
      <c r="I436" s="1135"/>
      <c r="J436" s="1135"/>
      <c r="K436" s="1135"/>
      <c r="L436" s="1135"/>
      <c r="M436" s="1135"/>
      <c r="N436" s="1135"/>
      <c r="O436" s="1135"/>
      <c r="P436" s="1135"/>
    </row>
    <row r="437" spans="3:16">
      <c r="C437" s="1135"/>
      <c r="D437" s="1135"/>
      <c r="E437" s="1135"/>
      <c r="F437" s="1135"/>
      <c r="G437" s="1135"/>
      <c r="H437" s="1135"/>
      <c r="I437" s="1135"/>
      <c r="J437" s="1135"/>
      <c r="K437" s="1135"/>
      <c r="L437" s="1135"/>
      <c r="M437" s="1135"/>
      <c r="N437" s="1135"/>
      <c r="O437" s="1135"/>
      <c r="P437" s="1135"/>
    </row>
    <row r="438" spans="3:16">
      <c r="C438" s="1135"/>
      <c r="D438" s="1135"/>
      <c r="E438" s="1135"/>
      <c r="F438" s="1135"/>
      <c r="G438" s="1135"/>
      <c r="H438" s="1135"/>
      <c r="I438" s="1135"/>
      <c r="J438" s="1135"/>
      <c r="K438" s="1135"/>
      <c r="L438" s="1135"/>
      <c r="M438" s="1135"/>
      <c r="N438" s="1135"/>
      <c r="O438" s="1135"/>
      <c r="P438" s="1135"/>
    </row>
    <row r="439" spans="3:16">
      <c r="C439" s="1135"/>
      <c r="D439" s="1135"/>
      <c r="E439" s="1135"/>
      <c r="F439" s="1135"/>
      <c r="G439" s="1135"/>
      <c r="H439" s="1135"/>
      <c r="I439" s="1135"/>
      <c r="J439" s="1135"/>
      <c r="K439" s="1135"/>
      <c r="L439" s="1135"/>
      <c r="M439" s="1135"/>
      <c r="N439" s="1135"/>
      <c r="O439" s="1135"/>
      <c r="P439" s="1135"/>
    </row>
    <row r="440" spans="3:16">
      <c r="C440" s="1135"/>
      <c r="D440" s="1135"/>
      <c r="E440" s="1135"/>
      <c r="F440" s="1135"/>
      <c r="G440" s="1135"/>
      <c r="H440" s="1135"/>
      <c r="I440" s="1135"/>
      <c r="J440" s="1135"/>
      <c r="K440" s="1135"/>
      <c r="L440" s="1135"/>
      <c r="M440" s="1135"/>
      <c r="N440" s="1135"/>
      <c r="O440" s="1135"/>
      <c r="P440" s="1135"/>
    </row>
    <row r="441" spans="3:16">
      <c r="C441" s="1135"/>
      <c r="D441" s="1135"/>
      <c r="E441" s="1135"/>
      <c r="F441" s="1135"/>
      <c r="G441" s="1135"/>
      <c r="H441" s="1135"/>
      <c r="I441" s="1135"/>
      <c r="J441" s="1135"/>
      <c r="K441" s="1135"/>
      <c r="L441" s="1135"/>
      <c r="M441" s="1135"/>
      <c r="N441" s="1135"/>
      <c r="O441" s="1135"/>
      <c r="P441" s="1135"/>
    </row>
    <row r="442" spans="3:16">
      <c r="C442" s="1135"/>
      <c r="D442" s="1135"/>
      <c r="E442" s="1135"/>
      <c r="F442" s="1135"/>
      <c r="G442" s="1135"/>
      <c r="H442" s="1135"/>
      <c r="I442" s="1135"/>
      <c r="J442" s="1135"/>
      <c r="K442" s="1135"/>
      <c r="L442" s="1135"/>
      <c r="M442" s="1135"/>
      <c r="N442" s="1135"/>
      <c r="O442" s="1135"/>
      <c r="P442" s="1135"/>
    </row>
    <row r="443" spans="3:16">
      <c r="C443" s="1135"/>
      <c r="D443" s="1135"/>
      <c r="E443" s="1135"/>
      <c r="F443" s="1135"/>
      <c r="G443" s="1135"/>
      <c r="H443" s="1135"/>
      <c r="I443" s="1135"/>
      <c r="J443" s="1135"/>
      <c r="K443" s="1135"/>
      <c r="L443" s="1135"/>
      <c r="M443" s="1135"/>
      <c r="N443" s="1135"/>
      <c r="O443" s="1135"/>
      <c r="P443" s="1135"/>
    </row>
    <row r="444" spans="3:16">
      <c r="C444" s="1135"/>
      <c r="D444" s="1135"/>
      <c r="E444" s="1135"/>
      <c r="F444" s="1135"/>
      <c r="G444" s="1135"/>
      <c r="H444" s="1135"/>
      <c r="I444" s="1135"/>
      <c r="J444" s="1135"/>
      <c r="K444" s="1135"/>
      <c r="L444" s="1135"/>
      <c r="M444" s="1135"/>
      <c r="N444" s="1135"/>
      <c r="O444" s="1135"/>
      <c r="P444" s="1135"/>
    </row>
    <row r="445" spans="3:16">
      <c r="C445" s="1135"/>
      <c r="D445" s="1135"/>
      <c r="E445" s="1135"/>
      <c r="F445" s="1135"/>
      <c r="G445" s="1135"/>
      <c r="H445" s="1135"/>
      <c r="I445" s="1135"/>
      <c r="J445" s="1135"/>
      <c r="K445" s="1135"/>
      <c r="L445" s="1135"/>
      <c r="M445" s="1135"/>
      <c r="N445" s="1135"/>
      <c r="O445" s="1135"/>
      <c r="P445" s="1135"/>
    </row>
    <row r="446" spans="3:16">
      <c r="C446" s="1135"/>
      <c r="D446" s="1135"/>
      <c r="E446" s="1135"/>
      <c r="F446" s="1135"/>
      <c r="G446" s="1135"/>
      <c r="H446" s="1135"/>
      <c r="I446" s="1135"/>
      <c r="J446" s="1135"/>
      <c r="K446" s="1135"/>
      <c r="L446" s="1135"/>
      <c r="M446" s="1135"/>
      <c r="N446" s="1135"/>
      <c r="O446" s="1135"/>
      <c r="P446" s="1135"/>
    </row>
    <row r="447" spans="3:16">
      <c r="C447" s="1135"/>
      <c r="D447" s="1135"/>
      <c r="E447" s="1135"/>
      <c r="F447" s="1135"/>
      <c r="G447" s="1135"/>
      <c r="H447" s="1135"/>
      <c r="I447" s="1135"/>
      <c r="J447" s="1135"/>
      <c r="K447" s="1135"/>
      <c r="L447" s="1135"/>
      <c r="M447" s="1135"/>
      <c r="N447" s="1135"/>
      <c r="O447" s="1135"/>
      <c r="P447" s="1135"/>
    </row>
    <row r="448" spans="3:16">
      <c r="C448" s="1135"/>
      <c r="D448" s="1135"/>
      <c r="E448" s="1135"/>
      <c r="F448" s="1135"/>
      <c r="G448" s="1135"/>
      <c r="H448" s="1135"/>
      <c r="I448" s="1135"/>
      <c r="J448" s="1135"/>
      <c r="K448" s="1135"/>
      <c r="L448" s="1135"/>
      <c r="M448" s="1135"/>
      <c r="N448" s="1135"/>
      <c r="O448" s="1135"/>
      <c r="P448" s="1135"/>
    </row>
    <row r="449" spans="3:16">
      <c r="C449" s="1135"/>
      <c r="D449" s="1135"/>
      <c r="E449" s="1135"/>
      <c r="F449" s="1135"/>
      <c r="G449" s="1135"/>
      <c r="H449" s="1135"/>
      <c r="I449" s="1135"/>
      <c r="J449" s="1135"/>
      <c r="K449" s="1135"/>
      <c r="L449" s="1135"/>
      <c r="M449" s="1135"/>
      <c r="N449" s="1135"/>
      <c r="O449" s="1135"/>
      <c r="P449" s="1135"/>
    </row>
    <row r="450" spans="3:16">
      <c r="C450" s="1135"/>
      <c r="D450" s="1135"/>
      <c r="E450" s="1135"/>
      <c r="F450" s="1135"/>
      <c r="G450" s="1135"/>
      <c r="H450" s="1135"/>
      <c r="I450" s="1135"/>
      <c r="J450" s="1135"/>
      <c r="K450" s="1135"/>
      <c r="L450" s="1135"/>
      <c r="M450" s="1135"/>
      <c r="N450" s="1135"/>
      <c r="O450" s="1135"/>
      <c r="P450" s="1135"/>
    </row>
    <row r="451" spans="3:16">
      <c r="C451" s="1135"/>
      <c r="D451" s="1135"/>
      <c r="E451" s="1135"/>
      <c r="F451" s="1135"/>
      <c r="G451" s="1135"/>
      <c r="H451" s="1135"/>
      <c r="I451" s="1135"/>
      <c r="J451" s="1135"/>
      <c r="K451" s="1135"/>
      <c r="L451" s="1135"/>
      <c r="M451" s="1135"/>
      <c r="N451" s="1135"/>
      <c r="O451" s="1135"/>
      <c r="P451" s="1135"/>
    </row>
    <row r="452" spans="3:16">
      <c r="C452" s="1135"/>
      <c r="D452" s="1135"/>
      <c r="E452" s="1135"/>
      <c r="F452" s="1135"/>
      <c r="G452" s="1135"/>
      <c r="H452" s="1135"/>
      <c r="I452" s="1135"/>
      <c r="J452" s="1135"/>
      <c r="K452" s="1135"/>
      <c r="L452" s="1135"/>
      <c r="M452" s="1135"/>
      <c r="N452" s="1135"/>
      <c r="O452" s="1135"/>
      <c r="P452" s="1135"/>
    </row>
    <row r="453" spans="3:16">
      <c r="C453" s="1135"/>
      <c r="D453" s="1135"/>
      <c r="E453" s="1135"/>
      <c r="F453" s="1135"/>
      <c r="G453" s="1135"/>
      <c r="H453" s="1135"/>
      <c r="I453" s="1135"/>
      <c r="J453" s="1135"/>
      <c r="K453" s="1135"/>
      <c r="L453" s="1135"/>
      <c r="M453" s="1135"/>
      <c r="N453" s="1135"/>
      <c r="O453" s="1135"/>
      <c r="P453" s="1135"/>
    </row>
    <row r="454" spans="3:16">
      <c r="C454" s="1135"/>
      <c r="D454" s="1135"/>
      <c r="E454" s="1135"/>
      <c r="F454" s="1135"/>
      <c r="G454" s="1135"/>
      <c r="H454" s="1135"/>
      <c r="I454" s="1135"/>
      <c r="J454" s="1135"/>
      <c r="K454" s="1135"/>
      <c r="L454" s="1135"/>
      <c r="M454" s="1135"/>
      <c r="N454" s="1135"/>
      <c r="O454" s="1135"/>
      <c r="P454" s="1135"/>
    </row>
    <row r="455" spans="3:16">
      <c r="C455" s="1135"/>
      <c r="D455" s="1135"/>
      <c r="E455" s="1135"/>
      <c r="F455" s="1135"/>
      <c r="G455" s="1135"/>
      <c r="H455" s="1135"/>
      <c r="I455" s="1135"/>
      <c r="J455" s="1135"/>
      <c r="K455" s="1135"/>
      <c r="L455" s="1135"/>
      <c r="M455" s="1135"/>
      <c r="N455" s="1135"/>
      <c r="O455" s="1135"/>
      <c r="P455" s="1135"/>
    </row>
    <row r="456" spans="3:16">
      <c r="C456" s="1135"/>
      <c r="D456" s="1135"/>
      <c r="E456" s="1135"/>
      <c r="F456" s="1135"/>
      <c r="G456" s="1135"/>
      <c r="H456" s="1135"/>
      <c r="I456" s="1135"/>
      <c r="J456" s="1135"/>
      <c r="K456" s="1135"/>
      <c r="L456" s="1135"/>
      <c r="M456" s="1135"/>
      <c r="N456" s="1135"/>
      <c r="O456" s="1135"/>
      <c r="P456" s="1135"/>
    </row>
    <row r="457" spans="3:16">
      <c r="C457" s="1135"/>
      <c r="D457" s="1135"/>
      <c r="E457" s="1135"/>
      <c r="F457" s="1135"/>
      <c r="G457" s="1135"/>
      <c r="H457" s="1135"/>
      <c r="I457" s="1135"/>
      <c r="J457" s="1135"/>
      <c r="K457" s="1135"/>
      <c r="L457" s="1135"/>
      <c r="M457" s="1135"/>
      <c r="N457" s="1135"/>
      <c r="O457" s="1135"/>
      <c r="P457" s="1135"/>
    </row>
    <row r="458" spans="3:16">
      <c r="C458" s="1135"/>
      <c r="D458" s="1135"/>
      <c r="E458" s="1135"/>
      <c r="F458" s="1135"/>
      <c r="G458" s="1135"/>
      <c r="H458" s="1135"/>
      <c r="I458" s="1135"/>
      <c r="J458" s="1135"/>
      <c r="K458" s="1135"/>
      <c r="L458" s="1135"/>
      <c r="M458" s="1135"/>
      <c r="N458" s="1135"/>
      <c r="O458" s="1135"/>
      <c r="P458" s="1135"/>
    </row>
    <row r="459" spans="3:16">
      <c r="C459" s="1135"/>
      <c r="D459" s="1135"/>
      <c r="E459" s="1135"/>
      <c r="F459" s="1135"/>
      <c r="G459" s="1135"/>
      <c r="H459" s="1135"/>
      <c r="I459" s="1135"/>
      <c r="J459" s="1135"/>
      <c r="K459" s="1135"/>
      <c r="L459" s="1135"/>
      <c r="M459" s="1135"/>
      <c r="N459" s="1135"/>
      <c r="O459" s="1135"/>
      <c r="P459" s="1135"/>
    </row>
    <row r="460" spans="3:16">
      <c r="C460" s="1135"/>
      <c r="D460" s="1135"/>
      <c r="E460" s="1135"/>
      <c r="F460" s="1135"/>
      <c r="G460" s="1135"/>
      <c r="H460" s="1135"/>
      <c r="I460" s="1135"/>
      <c r="J460" s="1135"/>
      <c r="K460" s="1135"/>
      <c r="L460" s="1135"/>
      <c r="M460" s="1135"/>
      <c r="N460" s="1135"/>
      <c r="O460" s="1135"/>
      <c r="P460" s="1135"/>
    </row>
    <row r="461" spans="3:16">
      <c r="C461" s="1135"/>
      <c r="D461" s="1135"/>
      <c r="E461" s="1135"/>
      <c r="F461" s="1135"/>
      <c r="G461" s="1135"/>
      <c r="H461" s="1135"/>
      <c r="I461" s="1135"/>
      <c r="J461" s="1135"/>
      <c r="K461" s="1135"/>
      <c r="L461" s="1135"/>
      <c r="M461" s="1135"/>
      <c r="N461" s="1135"/>
      <c r="O461" s="1135"/>
      <c r="P461" s="1135"/>
    </row>
    <row r="462" spans="3:16">
      <c r="C462" s="1135"/>
      <c r="D462" s="1135"/>
      <c r="E462" s="1135"/>
      <c r="F462" s="1135"/>
      <c r="G462" s="1135"/>
      <c r="H462" s="1135"/>
      <c r="I462" s="1135"/>
      <c r="J462" s="1135"/>
      <c r="K462" s="1135"/>
      <c r="L462" s="1135"/>
      <c r="M462" s="1135"/>
      <c r="N462" s="1135"/>
      <c r="O462" s="1135"/>
      <c r="P462" s="1135"/>
    </row>
    <row r="463" spans="3:16">
      <c r="C463" s="1135"/>
      <c r="D463" s="1135"/>
      <c r="E463" s="1135"/>
      <c r="F463" s="1135"/>
      <c r="G463" s="1135"/>
      <c r="H463" s="1135"/>
      <c r="I463" s="1135"/>
      <c r="J463" s="1135"/>
      <c r="K463" s="1135"/>
      <c r="L463" s="1135"/>
      <c r="M463" s="1135"/>
      <c r="N463" s="1135"/>
      <c r="O463" s="1135"/>
      <c r="P463" s="1135"/>
    </row>
    <row r="464" spans="3:16">
      <c r="C464" s="1135"/>
      <c r="D464" s="1135"/>
      <c r="E464" s="1135"/>
      <c r="F464" s="1135"/>
      <c r="G464" s="1135"/>
      <c r="H464" s="1135"/>
      <c r="I464" s="1135"/>
      <c r="J464" s="1135"/>
      <c r="K464" s="1135"/>
      <c r="L464" s="1135"/>
      <c r="M464" s="1135"/>
      <c r="N464" s="1135"/>
      <c r="O464" s="1135"/>
      <c r="P464" s="1135"/>
    </row>
    <row r="465" spans="3:16">
      <c r="C465" s="1135"/>
      <c r="D465" s="1135"/>
      <c r="E465" s="1135"/>
      <c r="F465" s="1135"/>
      <c r="G465" s="1135"/>
      <c r="H465" s="1135"/>
      <c r="I465" s="1135"/>
      <c r="J465" s="1135"/>
      <c r="K465" s="1135"/>
      <c r="L465" s="1135"/>
      <c r="M465" s="1135"/>
      <c r="N465" s="1135"/>
      <c r="O465" s="1135"/>
      <c r="P465" s="1135"/>
    </row>
    <row r="466" spans="3:16">
      <c r="C466" s="1135"/>
      <c r="D466" s="1135"/>
      <c r="E466" s="1135"/>
      <c r="F466" s="1135"/>
      <c r="G466" s="1135"/>
      <c r="H466" s="1135"/>
      <c r="I466" s="1135"/>
      <c r="J466" s="1135"/>
      <c r="K466" s="1135"/>
      <c r="L466" s="1135"/>
      <c r="M466" s="1135"/>
      <c r="N466" s="1135"/>
      <c r="O466" s="1135"/>
      <c r="P466" s="1135"/>
    </row>
    <row r="467" spans="3:16">
      <c r="C467" s="1135"/>
      <c r="D467" s="1135"/>
      <c r="E467" s="1135"/>
      <c r="F467" s="1135"/>
      <c r="G467" s="1135"/>
      <c r="H467" s="1135"/>
      <c r="I467" s="1135"/>
      <c r="J467" s="1135"/>
      <c r="K467" s="1135"/>
      <c r="L467" s="1135"/>
      <c r="M467" s="1135"/>
      <c r="N467" s="1135"/>
      <c r="O467" s="1135"/>
      <c r="P467" s="1135"/>
    </row>
    <row r="468" spans="3:16">
      <c r="C468" s="1135"/>
      <c r="D468" s="1135"/>
      <c r="E468" s="1135"/>
      <c r="F468" s="1135"/>
      <c r="G468" s="1135"/>
      <c r="H468" s="1135"/>
      <c r="I468" s="1135"/>
      <c r="J468" s="1135"/>
      <c r="K468" s="1135"/>
      <c r="L468" s="1135"/>
      <c r="M468" s="1135"/>
      <c r="N468" s="1135"/>
      <c r="O468" s="1135"/>
      <c r="P468" s="1135"/>
    </row>
    <row r="469" spans="3:16">
      <c r="C469" s="1135"/>
      <c r="D469" s="1135"/>
      <c r="E469" s="1135"/>
      <c r="F469" s="1135"/>
      <c r="G469" s="1135"/>
      <c r="H469" s="1135"/>
      <c r="I469" s="1135"/>
      <c r="J469" s="1135"/>
      <c r="K469" s="1135"/>
      <c r="L469" s="1135"/>
      <c r="M469" s="1135"/>
      <c r="N469" s="1135"/>
      <c r="O469" s="1135"/>
      <c r="P469" s="1135"/>
    </row>
    <row r="470" spans="3:16">
      <c r="C470" s="1135"/>
      <c r="D470" s="1135"/>
      <c r="E470" s="1135"/>
      <c r="F470" s="1135"/>
      <c r="G470" s="1135"/>
      <c r="H470" s="1135"/>
      <c r="I470" s="1135"/>
      <c r="J470" s="1135"/>
      <c r="K470" s="1135"/>
      <c r="L470" s="1135"/>
      <c r="M470" s="1135"/>
      <c r="N470" s="1135"/>
      <c r="O470" s="1135"/>
      <c r="P470" s="1135"/>
    </row>
    <row r="471" spans="3:16">
      <c r="C471" s="1135"/>
      <c r="D471" s="1135"/>
      <c r="E471" s="1135"/>
      <c r="F471" s="1135"/>
      <c r="G471" s="1135"/>
      <c r="H471" s="1135"/>
      <c r="I471" s="1135"/>
      <c r="J471" s="1135"/>
      <c r="K471" s="1135"/>
      <c r="L471" s="1135"/>
      <c r="M471" s="1135"/>
      <c r="N471" s="1135"/>
      <c r="O471" s="1135"/>
      <c r="P471" s="1135"/>
    </row>
    <row r="472" spans="3:16">
      <c r="C472" s="1135"/>
      <c r="D472" s="1135"/>
      <c r="E472" s="1135"/>
      <c r="F472" s="1135"/>
      <c r="G472" s="1135"/>
      <c r="H472" s="1135"/>
      <c r="I472" s="1135"/>
      <c r="J472" s="1135"/>
      <c r="K472" s="1135"/>
      <c r="L472" s="1135"/>
      <c r="M472" s="1135"/>
      <c r="N472" s="1135"/>
      <c r="O472" s="1135"/>
      <c r="P472" s="1135"/>
    </row>
    <row r="473" spans="3:16">
      <c r="C473" s="1135"/>
      <c r="D473" s="1135"/>
      <c r="E473" s="1135"/>
      <c r="F473" s="1135"/>
      <c r="G473" s="1135"/>
      <c r="H473" s="1135"/>
      <c r="I473" s="1135"/>
      <c r="J473" s="1135"/>
      <c r="K473" s="1135"/>
      <c r="L473" s="1135"/>
      <c r="M473" s="1135"/>
      <c r="N473" s="1135"/>
      <c r="O473" s="1135"/>
      <c r="P473" s="1135"/>
    </row>
    <row r="474" spans="3:16">
      <c r="C474" s="1135"/>
      <c r="D474" s="1135"/>
      <c r="E474" s="1135"/>
      <c r="F474" s="1135"/>
      <c r="G474" s="1135"/>
      <c r="H474" s="1135"/>
      <c r="I474" s="1135"/>
      <c r="J474" s="1135"/>
      <c r="K474" s="1135"/>
      <c r="L474" s="1135"/>
      <c r="M474" s="1135"/>
      <c r="N474" s="1135"/>
      <c r="O474" s="1135"/>
      <c r="P474" s="1135"/>
    </row>
    <row r="475" spans="3:16">
      <c r="C475" s="1135"/>
      <c r="D475" s="1135"/>
      <c r="E475" s="1135"/>
      <c r="F475" s="1135"/>
      <c r="G475" s="1135"/>
      <c r="H475" s="1135"/>
      <c r="I475" s="1135"/>
      <c r="J475" s="1135"/>
      <c r="K475" s="1135"/>
      <c r="L475" s="1135"/>
      <c r="M475" s="1135"/>
      <c r="N475" s="1135"/>
      <c r="O475" s="1135"/>
      <c r="P475" s="1135"/>
    </row>
    <row r="476" spans="3:16">
      <c r="C476" s="1135"/>
      <c r="D476" s="1135"/>
      <c r="E476" s="1135"/>
      <c r="F476" s="1135"/>
      <c r="G476" s="1135"/>
      <c r="H476" s="1135"/>
      <c r="I476" s="1135"/>
      <c r="J476" s="1135"/>
      <c r="K476" s="1135"/>
      <c r="L476" s="1135"/>
      <c r="M476" s="1135"/>
      <c r="N476" s="1135"/>
      <c r="O476" s="1135"/>
      <c r="P476" s="1135"/>
    </row>
    <row r="477" spans="3:16">
      <c r="C477" s="1135"/>
      <c r="D477" s="1135"/>
      <c r="E477" s="1135"/>
      <c r="F477" s="1135"/>
      <c r="G477" s="1135"/>
      <c r="H477" s="1135"/>
      <c r="I477" s="1135"/>
      <c r="J477" s="1135"/>
      <c r="K477" s="1135"/>
      <c r="L477" s="1135"/>
      <c r="M477" s="1135"/>
      <c r="N477" s="1135"/>
      <c r="O477" s="1135"/>
      <c r="P477" s="1135"/>
    </row>
    <row r="478" spans="3:16">
      <c r="C478" s="1135"/>
      <c r="D478" s="1135"/>
      <c r="E478" s="1135"/>
      <c r="F478" s="1135"/>
      <c r="G478" s="1135"/>
      <c r="H478" s="1135"/>
      <c r="I478" s="1135"/>
      <c r="J478" s="1135"/>
      <c r="K478" s="1135"/>
      <c r="L478" s="1135"/>
      <c r="M478" s="1135"/>
      <c r="N478" s="1135"/>
      <c r="O478" s="1135"/>
      <c r="P478" s="1135"/>
    </row>
    <row r="479" spans="3:16">
      <c r="C479" s="1135"/>
      <c r="D479" s="1135"/>
      <c r="E479" s="1135"/>
      <c r="F479" s="1135"/>
      <c r="G479" s="1135"/>
      <c r="H479" s="1135"/>
      <c r="I479" s="1135"/>
      <c r="J479" s="1135"/>
      <c r="K479" s="1135"/>
      <c r="L479" s="1135"/>
      <c r="M479" s="1135"/>
      <c r="N479" s="1135"/>
      <c r="O479" s="1135"/>
      <c r="P479" s="1135"/>
    </row>
    <row r="480" spans="3:16">
      <c r="C480" s="1135"/>
      <c r="D480" s="1135"/>
      <c r="E480" s="1135"/>
      <c r="F480" s="1135"/>
      <c r="G480" s="1135"/>
      <c r="H480" s="1135"/>
      <c r="I480" s="1135"/>
      <c r="J480" s="1135"/>
      <c r="K480" s="1135"/>
      <c r="L480" s="1135"/>
      <c r="M480" s="1135"/>
      <c r="N480" s="1135"/>
      <c r="O480" s="1135"/>
      <c r="P480" s="1135"/>
    </row>
    <row r="481" spans="3:16">
      <c r="C481" s="1135"/>
      <c r="D481" s="1135"/>
      <c r="E481" s="1135"/>
      <c r="F481" s="1135"/>
      <c r="G481" s="1135"/>
      <c r="H481" s="1135"/>
      <c r="I481" s="1135"/>
      <c r="J481" s="1135"/>
      <c r="K481" s="1135"/>
      <c r="L481" s="1135"/>
      <c r="M481" s="1135"/>
      <c r="N481" s="1135"/>
      <c r="O481" s="1135"/>
      <c r="P481" s="1135"/>
    </row>
    <row r="482" spans="3:16">
      <c r="C482" s="1135"/>
      <c r="D482" s="1135"/>
      <c r="E482" s="1135"/>
      <c r="F482" s="1135"/>
      <c r="G482" s="1135"/>
      <c r="H482" s="1135"/>
      <c r="I482" s="1135"/>
      <c r="J482" s="1135"/>
      <c r="K482" s="1135"/>
      <c r="L482" s="1135"/>
      <c r="M482" s="1135"/>
      <c r="N482" s="1135"/>
      <c r="O482" s="1135"/>
      <c r="P482" s="1135"/>
    </row>
    <row r="483" spans="3:16">
      <c r="C483" s="1135"/>
      <c r="D483" s="1135"/>
      <c r="E483" s="1135"/>
      <c r="F483" s="1135"/>
      <c r="G483" s="1135"/>
      <c r="H483" s="1135"/>
      <c r="I483" s="1135"/>
      <c r="J483" s="1135"/>
      <c r="K483" s="1135"/>
      <c r="L483" s="1135"/>
      <c r="M483" s="1135"/>
      <c r="N483" s="1135"/>
      <c r="O483" s="1135"/>
      <c r="P483" s="1135"/>
    </row>
    <row r="484" spans="3:16">
      <c r="C484" s="1135"/>
      <c r="D484" s="1135"/>
      <c r="E484" s="1135"/>
      <c r="F484" s="1135"/>
      <c r="G484" s="1135"/>
      <c r="H484" s="1135"/>
      <c r="I484" s="1135"/>
      <c r="J484" s="1135"/>
      <c r="K484" s="1135"/>
      <c r="L484" s="1135"/>
      <c r="M484" s="1135"/>
      <c r="N484" s="1135"/>
      <c r="O484" s="1135"/>
      <c r="P484" s="1135"/>
    </row>
    <row r="485" spans="3:16">
      <c r="C485" s="1135"/>
      <c r="D485" s="1135"/>
      <c r="E485" s="1135"/>
      <c r="F485" s="1135"/>
      <c r="G485" s="1135"/>
      <c r="H485" s="1135"/>
      <c r="I485" s="1135"/>
      <c r="J485" s="1135"/>
      <c r="K485" s="1135"/>
      <c r="L485" s="1135"/>
      <c r="M485" s="1135"/>
      <c r="N485" s="1135"/>
      <c r="O485" s="1135"/>
      <c r="P485" s="1135"/>
    </row>
    <row r="486" spans="3:16">
      <c r="C486" s="1135"/>
      <c r="D486" s="1135"/>
      <c r="E486" s="1135"/>
      <c r="F486" s="1135"/>
      <c r="G486" s="1135"/>
      <c r="H486" s="1135"/>
      <c r="I486" s="1135"/>
      <c r="J486" s="1135"/>
      <c r="K486" s="1135"/>
      <c r="L486" s="1135"/>
      <c r="M486" s="1135"/>
      <c r="N486" s="1135"/>
      <c r="O486" s="1135"/>
      <c r="P486" s="1135"/>
    </row>
    <row r="487" spans="3:16">
      <c r="C487" s="1135"/>
      <c r="D487" s="1135"/>
      <c r="E487" s="1135"/>
      <c r="F487" s="1135"/>
      <c r="G487" s="1135"/>
      <c r="H487" s="1135"/>
      <c r="I487" s="1135"/>
      <c r="J487" s="1135"/>
      <c r="K487" s="1135"/>
      <c r="L487" s="1135"/>
      <c r="M487" s="1135"/>
      <c r="N487" s="1135"/>
      <c r="O487" s="1135"/>
      <c r="P487" s="1135"/>
    </row>
    <row r="488" spans="3:16">
      <c r="C488" s="1135"/>
      <c r="D488" s="1135"/>
      <c r="E488" s="1135"/>
      <c r="F488" s="1135"/>
      <c r="G488" s="1135"/>
      <c r="H488" s="1135"/>
      <c r="I488" s="1135"/>
      <c r="J488" s="1135"/>
      <c r="K488" s="1135"/>
      <c r="L488" s="1135"/>
      <c r="M488" s="1135"/>
      <c r="N488" s="1135"/>
      <c r="O488" s="1135"/>
      <c r="P488" s="1135"/>
    </row>
    <row r="489" spans="3:16">
      <c r="C489" s="1135"/>
      <c r="D489" s="1135"/>
      <c r="E489" s="1135"/>
      <c r="F489" s="1135"/>
      <c r="G489" s="1135"/>
      <c r="H489" s="1135"/>
      <c r="I489" s="1135"/>
      <c r="J489" s="1135"/>
      <c r="K489" s="1135"/>
      <c r="L489" s="1135"/>
      <c r="M489" s="1135"/>
      <c r="N489" s="1135"/>
      <c r="O489" s="1135"/>
      <c r="P489" s="1135"/>
    </row>
    <row r="490" spans="3:16">
      <c r="C490" s="1135"/>
      <c r="D490" s="1135"/>
      <c r="E490" s="1135"/>
      <c r="F490" s="1135"/>
      <c r="G490" s="1135"/>
      <c r="H490" s="1135"/>
      <c r="I490" s="1135"/>
      <c r="J490" s="1135"/>
      <c r="K490" s="1135"/>
      <c r="L490" s="1135"/>
      <c r="M490" s="1135"/>
      <c r="N490" s="1135"/>
      <c r="O490" s="1135"/>
      <c r="P490" s="1135"/>
    </row>
    <row r="491" spans="3:16">
      <c r="C491" s="1135"/>
      <c r="D491" s="1135"/>
      <c r="E491" s="1135"/>
      <c r="F491" s="1135"/>
      <c r="G491" s="1135"/>
      <c r="H491" s="1135"/>
      <c r="I491" s="1135"/>
      <c r="J491" s="1135"/>
      <c r="K491" s="1135"/>
      <c r="L491" s="1135"/>
      <c r="M491" s="1135"/>
      <c r="N491" s="1135"/>
      <c r="O491" s="1135"/>
      <c r="P491" s="1135"/>
    </row>
    <row r="492" spans="3:16">
      <c r="C492" s="1135"/>
      <c r="D492" s="1135"/>
      <c r="E492" s="1135"/>
      <c r="F492" s="1135"/>
      <c r="G492" s="1135"/>
      <c r="H492" s="1135"/>
      <c r="I492" s="1135"/>
      <c r="J492" s="1135"/>
      <c r="K492" s="1135"/>
      <c r="L492" s="1135"/>
      <c r="M492" s="1135"/>
      <c r="N492" s="1135"/>
      <c r="O492" s="1135"/>
      <c r="P492" s="1135"/>
    </row>
    <row r="493" spans="3:16">
      <c r="C493" s="1135"/>
      <c r="D493" s="1135"/>
      <c r="E493" s="1135"/>
      <c r="F493" s="1135"/>
      <c r="G493" s="1135"/>
      <c r="H493" s="1135"/>
      <c r="I493" s="1135"/>
      <c r="J493" s="1135"/>
      <c r="K493" s="1135"/>
      <c r="L493" s="1135"/>
      <c r="M493" s="1135"/>
      <c r="N493" s="1135"/>
      <c r="O493" s="1135"/>
      <c r="P493" s="1135"/>
    </row>
    <row r="494" spans="3:16">
      <c r="C494" s="1135"/>
      <c r="D494" s="1135"/>
      <c r="E494" s="1135"/>
      <c r="F494" s="1135"/>
      <c r="G494" s="1135"/>
      <c r="H494" s="1135"/>
      <c r="I494" s="1135"/>
      <c r="J494" s="1135"/>
      <c r="K494" s="1135"/>
      <c r="L494" s="1135"/>
      <c r="M494" s="1135"/>
      <c r="N494" s="1135"/>
      <c r="O494" s="1135"/>
      <c r="P494" s="1135"/>
    </row>
    <row r="495" spans="3:16">
      <c r="C495" s="1135"/>
      <c r="D495" s="1135"/>
      <c r="E495" s="1135"/>
      <c r="F495" s="1135"/>
      <c r="G495" s="1135"/>
      <c r="H495" s="1135"/>
      <c r="I495" s="1135"/>
      <c r="J495" s="1135"/>
      <c r="K495" s="1135"/>
      <c r="L495" s="1135"/>
      <c r="M495" s="1135"/>
      <c r="N495" s="1135"/>
      <c r="O495" s="1135"/>
      <c r="P495" s="1135"/>
    </row>
    <row r="496" spans="3:16">
      <c r="C496" s="1135"/>
      <c r="D496" s="1135"/>
      <c r="E496" s="1135"/>
      <c r="F496" s="1135"/>
      <c r="G496" s="1135"/>
      <c r="H496" s="1135"/>
      <c r="I496" s="1135"/>
      <c r="J496" s="1135"/>
      <c r="K496" s="1135"/>
      <c r="L496" s="1135"/>
      <c r="M496" s="1135"/>
      <c r="N496" s="1135"/>
      <c r="O496" s="1135"/>
      <c r="P496" s="1135"/>
    </row>
    <row r="497" spans="3:16">
      <c r="C497" s="1135"/>
      <c r="D497" s="1135"/>
      <c r="E497" s="1135"/>
      <c r="F497" s="1135"/>
      <c r="G497" s="1135"/>
      <c r="H497" s="1135"/>
      <c r="I497" s="1135"/>
      <c r="J497" s="1135"/>
      <c r="K497" s="1135"/>
      <c r="L497" s="1135"/>
      <c r="M497" s="1135"/>
      <c r="N497" s="1135"/>
      <c r="O497" s="1135"/>
      <c r="P497" s="1135"/>
    </row>
    <row r="498" spans="3:16">
      <c r="C498" s="1135"/>
      <c r="D498" s="1135"/>
      <c r="E498" s="1135"/>
      <c r="F498" s="1135"/>
      <c r="G498" s="1135"/>
      <c r="H498" s="1135"/>
      <c r="I498" s="1135"/>
      <c r="J498" s="1135"/>
      <c r="K498" s="1135"/>
      <c r="L498" s="1135"/>
      <c r="M498" s="1135"/>
      <c r="N498" s="1135"/>
      <c r="O498" s="1135"/>
      <c r="P498" s="1135"/>
    </row>
    <row r="499" spans="3:16">
      <c r="C499" s="1135"/>
      <c r="D499" s="1135"/>
      <c r="E499" s="1135"/>
      <c r="F499" s="1135"/>
      <c r="G499" s="1135"/>
      <c r="H499" s="1135"/>
      <c r="I499" s="1135"/>
      <c r="J499" s="1135"/>
      <c r="K499" s="1135"/>
      <c r="L499" s="1135"/>
      <c r="M499" s="1135"/>
      <c r="N499" s="1135"/>
      <c r="O499" s="1135"/>
      <c r="P499" s="1135"/>
    </row>
    <row r="500" spans="3:16">
      <c r="C500" s="1135"/>
      <c r="D500" s="1135"/>
      <c r="E500" s="1135"/>
      <c r="F500" s="1135"/>
      <c r="G500" s="1135"/>
      <c r="H500" s="1135"/>
      <c r="I500" s="1135"/>
      <c r="J500" s="1135"/>
      <c r="K500" s="1135"/>
      <c r="L500" s="1135"/>
      <c r="M500" s="1135"/>
      <c r="N500" s="1135"/>
      <c r="O500" s="1135"/>
      <c r="P500" s="1135"/>
    </row>
    <row r="501" spans="3:16">
      <c r="C501" s="1135"/>
      <c r="D501" s="1135"/>
      <c r="E501" s="1135"/>
      <c r="F501" s="1135"/>
      <c r="G501" s="1135"/>
      <c r="H501" s="1135"/>
      <c r="I501" s="1135"/>
      <c r="J501" s="1135"/>
      <c r="K501" s="1135"/>
      <c r="L501" s="1135"/>
      <c r="M501" s="1135"/>
      <c r="N501" s="1135"/>
      <c r="O501" s="1135"/>
      <c r="P501" s="1135"/>
    </row>
    <row r="502" spans="3:16">
      <c r="C502" s="1135"/>
      <c r="D502" s="1135"/>
      <c r="E502" s="1135"/>
      <c r="F502" s="1135"/>
      <c r="G502" s="1135"/>
      <c r="H502" s="1135"/>
      <c r="I502" s="1135"/>
      <c r="J502" s="1135"/>
      <c r="K502" s="1135"/>
      <c r="L502" s="1135"/>
      <c r="M502" s="1135"/>
      <c r="N502" s="1135"/>
      <c r="O502" s="1135"/>
      <c r="P502" s="1135"/>
    </row>
    <row r="503" spans="3:16">
      <c r="C503" s="1135"/>
      <c r="D503" s="1135"/>
      <c r="E503" s="1135"/>
      <c r="F503" s="1135"/>
      <c r="G503" s="1135"/>
      <c r="H503" s="1135"/>
      <c r="I503" s="1135"/>
      <c r="J503" s="1135"/>
      <c r="K503" s="1135"/>
      <c r="L503" s="1135"/>
      <c r="M503" s="1135"/>
      <c r="N503" s="1135"/>
      <c r="O503" s="1135"/>
      <c r="P503" s="1135"/>
    </row>
    <row r="504" spans="3:16">
      <c r="C504" s="1135"/>
      <c r="D504" s="1135"/>
      <c r="E504" s="1135"/>
      <c r="F504" s="1135"/>
      <c r="G504" s="1135"/>
      <c r="H504" s="1135"/>
      <c r="I504" s="1135"/>
      <c r="J504" s="1135"/>
      <c r="K504" s="1135"/>
      <c r="L504" s="1135"/>
      <c r="M504" s="1135"/>
      <c r="N504" s="1135"/>
      <c r="O504" s="1135"/>
      <c r="P504" s="1135"/>
    </row>
    <row r="505" spans="3:16">
      <c r="C505" s="1135"/>
      <c r="D505" s="1135"/>
      <c r="E505" s="1135"/>
      <c r="F505" s="1135"/>
      <c r="G505" s="1135"/>
      <c r="H505" s="1135"/>
      <c r="I505" s="1135"/>
      <c r="J505" s="1135"/>
      <c r="K505" s="1135"/>
      <c r="L505" s="1135"/>
      <c r="M505" s="1135"/>
      <c r="N505" s="1135"/>
      <c r="O505" s="1135"/>
      <c r="P505" s="1135"/>
    </row>
    <row r="506" spans="3:16">
      <c r="C506" s="1135"/>
      <c r="D506" s="1135"/>
      <c r="E506" s="1135"/>
      <c r="F506" s="1135"/>
      <c r="G506" s="1135"/>
      <c r="H506" s="1135"/>
      <c r="I506" s="1135"/>
      <c r="J506" s="1135"/>
      <c r="K506" s="1135"/>
      <c r="L506" s="1135"/>
      <c r="M506" s="1135"/>
      <c r="N506" s="1135"/>
      <c r="O506" s="1135"/>
      <c r="P506" s="1135"/>
    </row>
    <row r="507" spans="3:16">
      <c r="C507" s="1135"/>
      <c r="D507" s="1135"/>
      <c r="E507" s="1135"/>
      <c r="F507" s="1135"/>
      <c r="G507" s="1135"/>
      <c r="H507" s="1135"/>
      <c r="I507" s="1135"/>
      <c r="J507" s="1135"/>
      <c r="K507" s="1135"/>
      <c r="L507" s="1135"/>
      <c r="M507" s="1135"/>
      <c r="N507" s="1135"/>
      <c r="O507" s="1135"/>
      <c r="P507" s="1135"/>
    </row>
    <row r="508" spans="3:16">
      <c r="C508" s="1135"/>
      <c r="D508" s="1135"/>
      <c r="E508" s="1135"/>
      <c r="F508" s="1135"/>
      <c r="G508" s="1135"/>
      <c r="H508" s="1135"/>
      <c r="I508" s="1135"/>
      <c r="J508" s="1135"/>
      <c r="K508" s="1135"/>
      <c r="L508" s="1135"/>
      <c r="M508" s="1135"/>
      <c r="N508" s="1135"/>
      <c r="O508" s="1135"/>
      <c r="P508" s="1135"/>
    </row>
    <row r="509" spans="3:16">
      <c r="C509" s="1135"/>
      <c r="D509" s="1135"/>
      <c r="E509" s="1135"/>
      <c r="F509" s="1135"/>
      <c r="G509" s="1135"/>
      <c r="H509" s="1135"/>
      <c r="I509" s="1135"/>
      <c r="J509" s="1135"/>
      <c r="K509" s="1135"/>
      <c r="L509" s="1135"/>
      <c r="M509" s="1135"/>
      <c r="N509" s="1135"/>
      <c r="O509" s="1135"/>
      <c r="P509" s="1135"/>
    </row>
    <row r="510" spans="3:16">
      <c r="C510" s="1135"/>
      <c r="D510" s="1135"/>
      <c r="E510" s="1135"/>
      <c r="F510" s="1135"/>
      <c r="G510" s="1135"/>
      <c r="H510" s="1135"/>
      <c r="I510" s="1135"/>
      <c r="J510" s="1135"/>
      <c r="K510" s="1135"/>
      <c r="L510" s="1135"/>
      <c r="M510" s="1135"/>
      <c r="N510" s="1135"/>
      <c r="O510" s="1135"/>
      <c r="P510" s="1135"/>
    </row>
    <row r="511" spans="3:16">
      <c r="C511" s="1135"/>
      <c r="D511" s="1135"/>
      <c r="E511" s="1135"/>
      <c r="F511" s="1135"/>
      <c r="G511" s="1135"/>
      <c r="H511" s="1135"/>
      <c r="I511" s="1135"/>
      <c r="J511" s="1135"/>
      <c r="K511" s="1135"/>
      <c r="L511" s="1135"/>
      <c r="M511" s="1135"/>
      <c r="N511" s="1135"/>
      <c r="O511" s="1135"/>
      <c r="P511" s="1135"/>
    </row>
    <row r="512" spans="3:16">
      <c r="C512" s="1135"/>
      <c r="D512" s="1135"/>
      <c r="E512" s="1135"/>
      <c r="F512" s="1135"/>
      <c r="G512" s="1135"/>
      <c r="H512" s="1135"/>
      <c r="I512" s="1135"/>
      <c r="J512" s="1135"/>
      <c r="K512" s="1135"/>
      <c r="L512" s="1135"/>
      <c r="M512" s="1135"/>
      <c r="N512" s="1135"/>
      <c r="O512" s="1135"/>
      <c r="P512" s="1135"/>
    </row>
    <row r="513" spans="3:16">
      <c r="C513" s="1135"/>
      <c r="D513" s="1135"/>
      <c r="E513" s="1135"/>
      <c r="F513" s="1135"/>
      <c r="G513" s="1135"/>
      <c r="H513" s="1135"/>
      <c r="I513" s="1135"/>
      <c r="J513" s="1135"/>
      <c r="K513" s="1135"/>
      <c r="L513" s="1135"/>
      <c r="M513" s="1135"/>
      <c r="N513" s="1135"/>
      <c r="O513" s="1135"/>
      <c r="P513" s="1135"/>
    </row>
    <row r="514" spans="3:16">
      <c r="C514" s="1135"/>
      <c r="D514" s="1135"/>
      <c r="E514" s="1135"/>
      <c r="F514" s="1135"/>
      <c r="G514" s="1135"/>
      <c r="H514" s="1135"/>
      <c r="I514" s="1135"/>
      <c r="J514" s="1135"/>
      <c r="K514" s="1135"/>
      <c r="L514" s="1135"/>
      <c r="M514" s="1135"/>
      <c r="N514" s="1135"/>
      <c r="O514" s="1135"/>
      <c r="P514" s="1135"/>
    </row>
    <row r="515" spans="3:16">
      <c r="C515" s="1135"/>
      <c r="D515" s="1135"/>
      <c r="E515" s="1135"/>
      <c r="F515" s="1135"/>
      <c r="G515" s="1135"/>
      <c r="H515" s="1135"/>
      <c r="I515" s="1135"/>
      <c r="J515" s="1135"/>
      <c r="K515" s="1135"/>
      <c r="L515" s="1135"/>
      <c r="M515" s="1135"/>
      <c r="N515" s="1135"/>
      <c r="O515" s="1135"/>
      <c r="P515" s="1135"/>
    </row>
    <row r="516" spans="3:16">
      <c r="C516" s="1135"/>
      <c r="D516" s="1135"/>
      <c r="E516" s="1135"/>
      <c r="F516" s="1135"/>
      <c r="G516" s="1135"/>
      <c r="H516" s="1135"/>
      <c r="I516" s="1135"/>
      <c r="J516" s="1135"/>
      <c r="K516" s="1135"/>
      <c r="L516" s="1135"/>
      <c r="M516" s="1135"/>
      <c r="N516" s="1135"/>
      <c r="O516" s="1135"/>
      <c r="P516" s="1135"/>
    </row>
    <row r="517" spans="3:16">
      <c r="C517" s="1135"/>
      <c r="D517" s="1135"/>
      <c r="E517" s="1135"/>
      <c r="F517" s="1135"/>
      <c r="G517" s="1135"/>
      <c r="H517" s="1135"/>
      <c r="I517" s="1135"/>
      <c r="J517" s="1135"/>
      <c r="K517" s="1135"/>
      <c r="L517" s="1135"/>
      <c r="M517" s="1135"/>
      <c r="N517" s="1135"/>
      <c r="O517" s="1135"/>
      <c r="P517" s="1135"/>
    </row>
    <row r="518" spans="3:16">
      <c r="C518" s="1135"/>
      <c r="D518" s="1135"/>
      <c r="E518" s="1135"/>
      <c r="F518" s="1135"/>
      <c r="G518" s="1135"/>
      <c r="H518" s="1135"/>
      <c r="I518" s="1135"/>
      <c r="J518" s="1135"/>
      <c r="K518" s="1135"/>
      <c r="L518" s="1135"/>
      <c r="M518" s="1135"/>
      <c r="N518" s="1135"/>
      <c r="O518" s="1135"/>
      <c r="P518" s="1135"/>
    </row>
    <row r="519" spans="3:16">
      <c r="C519" s="1135"/>
      <c r="D519" s="1135"/>
      <c r="E519" s="1135"/>
      <c r="F519" s="1135"/>
      <c r="G519" s="1135"/>
      <c r="H519" s="1135"/>
      <c r="I519" s="1135"/>
      <c r="J519" s="1135"/>
      <c r="K519" s="1135"/>
      <c r="L519" s="1135"/>
      <c r="M519" s="1135"/>
      <c r="N519" s="1135"/>
      <c r="O519" s="1135"/>
      <c r="P519" s="1135"/>
    </row>
    <row r="520" spans="3:16">
      <c r="C520" s="1135"/>
      <c r="D520" s="1135"/>
      <c r="E520" s="1135"/>
      <c r="F520" s="1135"/>
      <c r="G520" s="1135"/>
      <c r="H520" s="1135"/>
      <c r="I520" s="1135"/>
      <c r="J520" s="1135"/>
      <c r="K520" s="1135"/>
      <c r="L520" s="1135"/>
      <c r="M520" s="1135"/>
      <c r="N520" s="1135"/>
      <c r="O520" s="1135"/>
      <c r="P520" s="1135"/>
    </row>
    <row r="521" spans="3:16">
      <c r="C521" s="1135"/>
      <c r="D521" s="1135"/>
      <c r="E521" s="1135"/>
      <c r="F521" s="1135"/>
      <c r="G521" s="1135"/>
      <c r="H521" s="1135"/>
      <c r="I521" s="1135"/>
      <c r="J521" s="1135"/>
      <c r="K521" s="1135"/>
      <c r="L521" s="1135"/>
      <c r="M521" s="1135"/>
      <c r="N521" s="1135"/>
      <c r="O521" s="1135"/>
      <c r="P521" s="1135"/>
    </row>
    <row r="522" spans="3:16">
      <c r="C522" s="1135"/>
      <c r="D522" s="1135"/>
      <c r="E522" s="1135"/>
      <c r="F522" s="1135"/>
      <c r="G522" s="1135"/>
      <c r="H522" s="1135"/>
      <c r="I522" s="1135"/>
      <c r="J522" s="1135"/>
      <c r="K522" s="1135"/>
      <c r="L522" s="1135"/>
      <c r="M522" s="1135"/>
      <c r="N522" s="1135"/>
      <c r="O522" s="1135"/>
      <c r="P522" s="1135"/>
    </row>
    <row r="523" spans="3:16">
      <c r="C523" s="1135"/>
      <c r="D523" s="1135"/>
      <c r="E523" s="1135"/>
      <c r="F523" s="1135"/>
      <c r="G523" s="1135"/>
      <c r="H523" s="1135"/>
      <c r="I523" s="1135"/>
      <c r="J523" s="1135"/>
      <c r="K523" s="1135"/>
      <c r="L523" s="1135"/>
      <c r="M523" s="1135"/>
      <c r="N523" s="1135"/>
      <c r="O523" s="1135"/>
      <c r="P523" s="1135"/>
    </row>
    <row r="524" spans="3:16">
      <c r="C524" s="1135"/>
      <c r="D524" s="1135"/>
      <c r="E524" s="1135"/>
      <c r="F524" s="1135"/>
      <c r="G524" s="1135"/>
      <c r="H524" s="1135"/>
      <c r="I524" s="1135"/>
      <c r="J524" s="1135"/>
      <c r="K524" s="1135"/>
      <c r="L524" s="1135"/>
      <c r="M524" s="1135"/>
      <c r="N524" s="1135"/>
      <c r="O524" s="1135"/>
      <c r="P524" s="1135"/>
    </row>
    <row r="525" spans="3:16">
      <c r="C525" s="1135"/>
      <c r="D525" s="1135"/>
      <c r="E525" s="1135"/>
      <c r="F525" s="1135"/>
      <c r="G525" s="1135"/>
      <c r="H525" s="1135"/>
      <c r="I525" s="1135"/>
      <c r="J525" s="1135"/>
      <c r="K525" s="1135"/>
      <c r="L525" s="1135"/>
      <c r="M525" s="1135"/>
      <c r="N525" s="1135"/>
      <c r="O525" s="1135"/>
      <c r="P525" s="1135"/>
    </row>
    <row r="526" spans="3:16">
      <c r="C526" s="1135"/>
      <c r="D526" s="1135"/>
      <c r="E526" s="1135"/>
      <c r="F526" s="1135"/>
      <c r="G526" s="1135"/>
      <c r="H526" s="1135"/>
      <c r="I526" s="1135"/>
      <c r="J526" s="1135"/>
      <c r="K526" s="1135"/>
      <c r="L526" s="1135"/>
      <c r="M526" s="1135"/>
      <c r="N526" s="1135"/>
      <c r="O526" s="1135"/>
      <c r="P526" s="1135"/>
    </row>
    <row r="527" spans="3:16">
      <c r="C527" s="1135"/>
      <c r="D527" s="1135"/>
      <c r="E527" s="1135"/>
      <c r="F527" s="1135"/>
      <c r="G527" s="1135"/>
      <c r="H527" s="1135"/>
      <c r="I527" s="1135"/>
      <c r="J527" s="1135"/>
      <c r="K527" s="1135"/>
      <c r="L527" s="1135"/>
      <c r="M527" s="1135"/>
      <c r="N527" s="1135"/>
      <c r="O527" s="1135"/>
      <c r="P527" s="1135"/>
    </row>
    <row r="528" spans="3:16">
      <c r="C528" s="1135"/>
      <c r="D528" s="1135"/>
      <c r="E528" s="1135"/>
      <c r="F528" s="1135"/>
      <c r="G528" s="1135"/>
      <c r="H528" s="1135"/>
      <c r="I528" s="1135"/>
      <c r="J528" s="1135"/>
      <c r="K528" s="1135"/>
      <c r="L528" s="1135"/>
      <c r="M528" s="1135"/>
      <c r="N528" s="1135"/>
      <c r="O528" s="1135"/>
      <c r="P528" s="1135"/>
    </row>
    <row r="529" spans="3:16">
      <c r="C529" s="1135"/>
      <c r="D529" s="1135"/>
      <c r="E529" s="1135"/>
      <c r="F529" s="1135"/>
      <c r="G529" s="1135"/>
      <c r="H529" s="1135"/>
      <c r="I529" s="1135"/>
      <c r="J529" s="1135"/>
      <c r="K529" s="1135"/>
      <c r="L529" s="1135"/>
      <c r="M529" s="1135"/>
      <c r="N529" s="1135"/>
      <c r="O529" s="1135"/>
      <c r="P529" s="1135"/>
    </row>
    <row r="530" spans="3:16">
      <c r="C530" s="1135"/>
      <c r="D530" s="1135"/>
      <c r="E530" s="1135"/>
      <c r="F530" s="1135"/>
      <c r="G530" s="1135"/>
      <c r="H530" s="1135"/>
      <c r="I530" s="1135"/>
      <c r="J530" s="1135"/>
      <c r="K530" s="1135"/>
      <c r="L530" s="1135"/>
      <c r="M530" s="1135"/>
      <c r="N530" s="1135"/>
      <c r="O530" s="1135"/>
      <c r="P530" s="1135"/>
    </row>
    <row r="531" spans="3:16">
      <c r="C531" s="1135"/>
      <c r="D531" s="1135"/>
      <c r="E531" s="1135"/>
      <c r="F531" s="1135"/>
      <c r="G531" s="1135"/>
      <c r="H531" s="1135"/>
      <c r="I531" s="1135"/>
      <c r="J531" s="1135"/>
      <c r="K531" s="1135"/>
      <c r="L531" s="1135"/>
      <c r="M531" s="1135"/>
      <c r="N531" s="1135"/>
      <c r="O531" s="1135"/>
      <c r="P531" s="1135"/>
    </row>
    <row r="532" spans="3:16">
      <c r="C532" s="1135"/>
      <c r="D532" s="1135"/>
      <c r="E532" s="1135"/>
      <c r="F532" s="1135"/>
      <c r="G532" s="1135"/>
      <c r="H532" s="1135"/>
      <c r="I532" s="1135"/>
      <c r="J532" s="1135"/>
      <c r="K532" s="1135"/>
      <c r="L532" s="1135"/>
      <c r="M532" s="1135"/>
      <c r="N532" s="1135"/>
      <c r="O532" s="1135"/>
      <c r="P532" s="1135"/>
    </row>
    <row r="533" spans="3:16">
      <c r="C533" s="1135"/>
      <c r="D533" s="1135"/>
      <c r="E533" s="1135"/>
      <c r="F533" s="1135"/>
      <c r="G533" s="1135"/>
      <c r="H533" s="1135"/>
      <c r="I533" s="1135"/>
      <c r="J533" s="1135"/>
      <c r="K533" s="1135"/>
      <c r="L533" s="1135"/>
      <c r="M533" s="1135"/>
      <c r="N533" s="1135"/>
      <c r="O533" s="1135"/>
      <c r="P533" s="1135"/>
    </row>
    <row r="534" spans="3:16">
      <c r="C534" s="1135"/>
      <c r="D534" s="1135"/>
      <c r="E534" s="1135"/>
      <c r="F534" s="1135"/>
      <c r="G534" s="1135"/>
      <c r="H534" s="1135"/>
      <c r="I534" s="1135"/>
      <c r="J534" s="1135"/>
      <c r="K534" s="1135"/>
      <c r="L534" s="1135"/>
      <c r="M534" s="1135"/>
      <c r="N534" s="1135"/>
      <c r="O534" s="1135"/>
      <c r="P534" s="1135"/>
    </row>
    <row r="535" spans="3:16">
      <c r="C535" s="1135"/>
      <c r="D535" s="1135"/>
      <c r="E535" s="1135"/>
      <c r="F535" s="1135"/>
      <c r="G535" s="1135"/>
      <c r="H535" s="1135"/>
      <c r="I535" s="1135"/>
      <c r="J535" s="1135"/>
      <c r="K535" s="1135"/>
      <c r="L535" s="1135"/>
      <c r="M535" s="1135"/>
      <c r="N535" s="1135"/>
      <c r="O535" s="1135"/>
      <c r="P535" s="1135"/>
    </row>
    <row r="536" spans="3:16">
      <c r="C536" s="1135"/>
      <c r="D536" s="1135"/>
      <c r="E536" s="1135"/>
      <c r="F536" s="1135"/>
      <c r="G536" s="1135"/>
      <c r="H536" s="1135"/>
      <c r="I536" s="1135"/>
      <c r="J536" s="1135"/>
      <c r="K536" s="1135"/>
      <c r="L536" s="1135"/>
      <c r="M536" s="1135"/>
      <c r="N536" s="1135"/>
      <c r="O536" s="1135"/>
      <c r="P536" s="1135"/>
    </row>
    <row r="537" spans="3:16">
      <c r="C537" s="1135"/>
      <c r="D537" s="1135"/>
      <c r="E537" s="1135"/>
      <c r="F537" s="1135"/>
      <c r="G537" s="1135"/>
      <c r="H537" s="1135"/>
      <c r="I537" s="1135"/>
      <c r="J537" s="1135"/>
      <c r="K537" s="1135"/>
      <c r="L537" s="1135"/>
      <c r="M537" s="1135"/>
      <c r="N537" s="1135"/>
      <c r="O537" s="1135"/>
      <c r="P537" s="1135"/>
    </row>
    <row r="538" spans="3:16">
      <c r="C538" s="1135"/>
      <c r="D538" s="1135"/>
      <c r="E538" s="1135"/>
      <c r="F538" s="1135"/>
      <c r="G538" s="1135"/>
      <c r="H538" s="1135"/>
      <c r="I538" s="1135"/>
      <c r="J538" s="1135"/>
      <c r="K538" s="1135"/>
      <c r="L538" s="1135"/>
      <c r="M538" s="1135"/>
      <c r="N538" s="1135"/>
      <c r="O538" s="1135"/>
      <c r="P538" s="1135"/>
    </row>
    <row r="539" spans="3:16">
      <c r="C539" s="1135"/>
      <c r="D539" s="1135"/>
      <c r="E539" s="1135"/>
      <c r="F539" s="1135"/>
      <c r="G539" s="1135"/>
      <c r="H539" s="1135"/>
      <c r="I539" s="1135"/>
      <c r="J539" s="1135"/>
      <c r="K539" s="1135"/>
      <c r="L539" s="1135"/>
      <c r="M539" s="1135"/>
      <c r="N539" s="1135"/>
      <c r="O539" s="1135"/>
      <c r="P539" s="1135"/>
    </row>
    <row r="540" spans="3:16">
      <c r="C540" s="1135"/>
      <c r="D540" s="1135"/>
      <c r="E540" s="1135"/>
      <c r="F540" s="1135"/>
      <c r="G540" s="1135"/>
      <c r="H540" s="1135"/>
      <c r="I540" s="1135"/>
      <c r="J540" s="1135"/>
      <c r="K540" s="1135"/>
      <c r="L540" s="1135"/>
      <c r="M540" s="1135"/>
      <c r="N540" s="1135"/>
      <c r="O540" s="1135"/>
      <c r="P540" s="1135"/>
    </row>
    <row r="541" spans="3:16">
      <c r="C541" s="1135"/>
      <c r="D541" s="1135"/>
      <c r="E541" s="1135"/>
      <c r="F541" s="1135"/>
      <c r="G541" s="1135"/>
      <c r="H541" s="1135"/>
      <c r="I541" s="1135"/>
      <c r="J541" s="1135"/>
      <c r="K541" s="1135"/>
      <c r="L541" s="1135"/>
      <c r="M541" s="1135"/>
      <c r="N541" s="1135"/>
      <c r="O541" s="1135"/>
      <c r="P541" s="1135"/>
    </row>
    <row r="542" spans="3:16">
      <c r="C542" s="1135"/>
      <c r="D542" s="1135"/>
      <c r="E542" s="1135"/>
      <c r="F542" s="1135"/>
      <c r="G542" s="1135"/>
      <c r="H542" s="1135"/>
      <c r="I542" s="1135"/>
      <c r="J542" s="1135"/>
      <c r="K542" s="1135"/>
      <c r="L542" s="1135"/>
      <c r="M542" s="1135"/>
      <c r="N542" s="1135"/>
      <c r="O542" s="1135"/>
      <c r="P542" s="1135"/>
    </row>
    <row r="543" spans="3:16">
      <c r="C543" s="1135"/>
      <c r="D543" s="1135"/>
      <c r="E543" s="1135"/>
      <c r="F543" s="1135"/>
      <c r="G543" s="1135"/>
      <c r="H543" s="1135"/>
      <c r="I543" s="1135"/>
      <c r="J543" s="1135"/>
      <c r="K543" s="1135"/>
      <c r="L543" s="1135"/>
      <c r="M543" s="1135"/>
      <c r="N543" s="1135"/>
      <c r="O543" s="1135"/>
      <c r="P543" s="1135"/>
    </row>
    <row r="544" spans="3:16">
      <c r="C544" s="1135"/>
      <c r="D544" s="1135"/>
      <c r="E544" s="1135"/>
      <c r="F544" s="1135"/>
      <c r="G544" s="1135"/>
      <c r="H544" s="1135"/>
      <c r="I544" s="1135"/>
      <c r="J544" s="1135"/>
      <c r="K544" s="1135"/>
      <c r="L544" s="1135"/>
      <c r="M544" s="1135"/>
      <c r="N544" s="1135"/>
      <c r="O544" s="1135"/>
      <c r="P544" s="1135"/>
    </row>
    <row r="545" spans="3:16">
      <c r="C545" s="1135"/>
      <c r="D545" s="1135"/>
      <c r="E545" s="1135"/>
      <c r="F545" s="1135"/>
      <c r="G545" s="1135"/>
      <c r="H545" s="1135"/>
      <c r="I545" s="1135"/>
      <c r="J545" s="1135"/>
      <c r="K545" s="1135"/>
      <c r="L545" s="1135"/>
      <c r="M545" s="1135"/>
      <c r="N545" s="1135"/>
      <c r="O545" s="1135"/>
      <c r="P545" s="1135"/>
    </row>
    <row r="546" spans="3:16">
      <c r="C546" s="1135"/>
      <c r="D546" s="1135"/>
      <c r="E546" s="1135"/>
      <c r="F546" s="1135"/>
      <c r="G546" s="1135"/>
      <c r="H546" s="1135"/>
      <c r="I546" s="1135"/>
      <c r="J546" s="1135"/>
      <c r="K546" s="1135"/>
      <c r="L546" s="1135"/>
      <c r="M546" s="1135"/>
      <c r="N546" s="1135"/>
      <c r="O546" s="1135"/>
      <c r="P546" s="1135"/>
    </row>
    <row r="547" spans="3:16">
      <c r="C547" s="1135"/>
      <c r="D547" s="1135"/>
      <c r="E547" s="1135"/>
      <c r="F547" s="1135"/>
      <c r="G547" s="1135"/>
      <c r="H547" s="1135"/>
      <c r="I547" s="1135"/>
      <c r="J547" s="1135"/>
      <c r="K547" s="1135"/>
      <c r="L547" s="1135"/>
      <c r="M547" s="1135"/>
      <c r="N547" s="1135"/>
      <c r="O547" s="1135"/>
      <c r="P547" s="1135"/>
    </row>
    <row r="548" spans="3:16">
      <c r="C548" s="1135"/>
      <c r="D548" s="1135"/>
      <c r="E548" s="1135"/>
      <c r="F548" s="1135"/>
      <c r="G548" s="1135"/>
      <c r="H548" s="1135"/>
      <c r="I548" s="1135"/>
      <c r="J548" s="1135"/>
      <c r="K548" s="1135"/>
      <c r="L548" s="1135"/>
      <c r="M548" s="1135"/>
      <c r="N548" s="1135"/>
      <c r="O548" s="1135"/>
      <c r="P548" s="1135"/>
    </row>
    <row r="549" spans="3:16">
      <c r="C549" s="1135"/>
      <c r="D549" s="1135"/>
      <c r="E549" s="1135"/>
      <c r="F549" s="1135"/>
      <c r="G549" s="1135"/>
      <c r="H549" s="1135"/>
      <c r="I549" s="1135"/>
      <c r="J549" s="1135"/>
      <c r="K549" s="1135"/>
      <c r="L549" s="1135"/>
      <c r="M549" s="1135"/>
      <c r="N549" s="1135"/>
      <c r="O549" s="1135"/>
      <c r="P549" s="1135"/>
    </row>
    <row r="550" spans="3:16">
      <c r="C550" s="1135"/>
      <c r="D550" s="1135"/>
      <c r="E550" s="1135"/>
      <c r="F550" s="1135"/>
      <c r="G550" s="1135"/>
      <c r="H550" s="1135"/>
      <c r="I550" s="1135"/>
      <c r="J550" s="1135"/>
      <c r="K550" s="1135"/>
      <c r="L550" s="1135"/>
      <c r="M550" s="1135"/>
      <c r="N550" s="1135"/>
      <c r="O550" s="1135"/>
      <c r="P550" s="1135"/>
    </row>
    <row r="551" spans="3:16">
      <c r="C551" s="1135"/>
      <c r="D551" s="1135"/>
      <c r="E551" s="1135"/>
      <c r="F551" s="1135"/>
      <c r="G551" s="1135"/>
      <c r="H551" s="1135"/>
      <c r="I551" s="1135"/>
      <c r="J551" s="1135"/>
      <c r="K551" s="1135"/>
      <c r="L551" s="1135"/>
      <c r="M551" s="1135"/>
      <c r="N551" s="1135"/>
      <c r="O551" s="1135"/>
      <c r="P551" s="1135"/>
    </row>
    <row r="552" spans="3:16">
      <c r="C552" s="1135"/>
      <c r="D552" s="1135"/>
      <c r="E552" s="1135"/>
      <c r="F552" s="1135"/>
      <c r="G552" s="1135"/>
      <c r="H552" s="1135"/>
      <c r="I552" s="1135"/>
      <c r="J552" s="1135"/>
      <c r="K552" s="1135"/>
      <c r="L552" s="1135"/>
      <c r="M552" s="1135"/>
      <c r="N552" s="1135"/>
      <c r="O552" s="1135"/>
      <c r="P552" s="1135"/>
    </row>
    <row r="553" spans="3:16">
      <c r="C553" s="1135"/>
      <c r="D553" s="1135"/>
      <c r="E553" s="1135"/>
      <c r="F553" s="1135"/>
      <c r="G553" s="1135"/>
      <c r="H553" s="1135"/>
      <c r="I553" s="1135"/>
      <c r="J553" s="1135"/>
      <c r="K553" s="1135"/>
      <c r="L553" s="1135"/>
      <c r="M553" s="1135"/>
      <c r="N553" s="1135"/>
      <c r="O553" s="1135"/>
      <c r="P553" s="1135"/>
    </row>
    <row r="554" spans="3:16">
      <c r="C554" s="1135"/>
      <c r="D554" s="1135"/>
      <c r="E554" s="1135"/>
      <c r="F554" s="1135"/>
      <c r="G554" s="1135"/>
      <c r="H554" s="1135"/>
      <c r="I554" s="1135"/>
      <c r="J554" s="1135"/>
      <c r="K554" s="1135"/>
      <c r="L554" s="1135"/>
      <c r="M554" s="1135"/>
      <c r="N554" s="1135"/>
      <c r="O554" s="1135"/>
      <c r="P554" s="1135"/>
    </row>
    <row r="555" spans="3:16">
      <c r="C555" s="1135"/>
      <c r="D555" s="1135"/>
      <c r="E555" s="1135"/>
      <c r="F555" s="1135"/>
      <c r="G555" s="1135"/>
      <c r="H555" s="1135"/>
      <c r="I555" s="1135"/>
      <c r="J555" s="1135"/>
      <c r="K555" s="1135"/>
      <c r="L555" s="1135"/>
      <c r="M555" s="1135"/>
      <c r="N555" s="1135"/>
      <c r="O555" s="1135"/>
      <c r="P555" s="1135"/>
    </row>
    <row r="556" spans="3:16">
      <c r="C556" s="1135"/>
      <c r="D556" s="1135"/>
      <c r="E556" s="1135"/>
      <c r="F556" s="1135"/>
      <c r="G556" s="1135"/>
      <c r="H556" s="1135"/>
      <c r="I556" s="1135"/>
      <c r="J556" s="1135"/>
      <c r="K556" s="1135"/>
      <c r="L556" s="1135"/>
      <c r="M556" s="1135"/>
      <c r="N556" s="1135"/>
      <c r="O556" s="1135"/>
      <c r="P556" s="1135"/>
    </row>
    <row r="557" spans="3:16">
      <c r="C557" s="1135"/>
      <c r="D557" s="1135"/>
      <c r="E557" s="1135"/>
      <c r="F557" s="1135"/>
      <c r="G557" s="1135"/>
      <c r="H557" s="1135"/>
      <c r="I557" s="1135"/>
      <c r="J557" s="1135"/>
      <c r="K557" s="1135"/>
      <c r="L557" s="1135"/>
      <c r="M557" s="1135"/>
      <c r="N557" s="1135"/>
      <c r="O557" s="1135"/>
      <c r="P557" s="1135"/>
    </row>
    <row r="558" spans="3:16">
      <c r="C558" s="1135"/>
      <c r="D558" s="1135"/>
      <c r="E558" s="1135"/>
      <c r="F558" s="1135"/>
      <c r="G558" s="1135"/>
      <c r="H558" s="1135"/>
      <c r="I558" s="1135"/>
      <c r="J558" s="1135"/>
      <c r="K558" s="1135"/>
      <c r="L558" s="1135"/>
      <c r="M558" s="1135"/>
      <c r="N558" s="1135"/>
      <c r="O558" s="1135"/>
      <c r="P558" s="1135"/>
    </row>
    <row r="559" spans="3:16">
      <c r="C559" s="1135"/>
      <c r="D559" s="1135"/>
      <c r="E559" s="1135"/>
      <c r="F559" s="1135"/>
      <c r="G559" s="1135"/>
      <c r="H559" s="1135"/>
      <c r="I559" s="1135"/>
      <c r="J559" s="1135"/>
      <c r="K559" s="1135"/>
      <c r="L559" s="1135"/>
      <c r="M559" s="1135"/>
      <c r="N559" s="1135"/>
      <c r="O559" s="1135"/>
      <c r="P559" s="1135"/>
    </row>
    <row r="560" spans="3:16">
      <c r="C560" s="1135"/>
      <c r="D560" s="1135"/>
      <c r="E560" s="1135"/>
      <c r="F560" s="1135"/>
      <c r="G560" s="1135"/>
      <c r="H560" s="1135"/>
      <c r="I560" s="1135"/>
      <c r="J560" s="1135"/>
      <c r="K560" s="1135"/>
      <c r="L560" s="1135"/>
      <c r="M560" s="1135"/>
      <c r="N560" s="1135"/>
      <c r="O560" s="1135"/>
      <c r="P560" s="1135"/>
    </row>
    <row r="561" spans="3:16">
      <c r="C561" s="1135"/>
      <c r="D561" s="1135"/>
      <c r="E561" s="1135"/>
      <c r="F561" s="1135"/>
      <c r="G561" s="1135"/>
      <c r="H561" s="1135"/>
      <c r="I561" s="1135"/>
      <c r="J561" s="1135"/>
      <c r="K561" s="1135"/>
      <c r="L561" s="1135"/>
      <c r="M561" s="1135"/>
      <c r="N561" s="1135"/>
      <c r="O561" s="1135"/>
      <c r="P561" s="1135"/>
    </row>
    <row r="562" spans="3:16">
      <c r="C562" s="1135"/>
      <c r="D562" s="1135"/>
      <c r="E562" s="1135"/>
      <c r="F562" s="1135"/>
      <c r="G562" s="1135"/>
      <c r="H562" s="1135"/>
      <c r="I562" s="1135"/>
      <c r="J562" s="1135"/>
      <c r="K562" s="1135"/>
      <c r="L562" s="1135"/>
      <c r="M562" s="1135"/>
      <c r="N562" s="1135"/>
      <c r="O562" s="1135"/>
      <c r="P562" s="1135"/>
    </row>
    <row r="563" spans="3:16">
      <c r="C563" s="1135"/>
      <c r="D563" s="1135"/>
      <c r="E563" s="1135"/>
      <c r="F563" s="1135"/>
      <c r="G563" s="1135"/>
      <c r="H563" s="1135"/>
      <c r="I563" s="1135"/>
      <c r="J563" s="1135"/>
      <c r="K563" s="1135"/>
      <c r="L563" s="1135"/>
      <c r="M563" s="1135"/>
      <c r="N563" s="1135"/>
      <c r="O563" s="1135"/>
      <c r="P563" s="1135"/>
    </row>
    <row r="564" spans="3:16">
      <c r="C564" s="1135"/>
      <c r="D564" s="1135"/>
      <c r="E564" s="1135"/>
      <c r="F564" s="1135"/>
      <c r="G564" s="1135"/>
      <c r="H564" s="1135"/>
      <c r="I564" s="1135"/>
      <c r="J564" s="1135"/>
      <c r="K564" s="1135"/>
      <c r="L564" s="1135"/>
      <c r="M564" s="1135"/>
      <c r="N564" s="1135"/>
      <c r="O564" s="1135"/>
      <c r="P564" s="1135"/>
    </row>
    <row r="565" spans="3:16">
      <c r="C565" s="1135"/>
      <c r="D565" s="1135"/>
      <c r="E565" s="1135"/>
      <c r="F565" s="1135"/>
      <c r="G565" s="1135"/>
      <c r="H565" s="1135"/>
      <c r="I565" s="1135"/>
      <c r="J565" s="1135"/>
      <c r="K565" s="1135"/>
      <c r="L565" s="1135"/>
      <c r="M565" s="1135"/>
      <c r="N565" s="1135"/>
      <c r="O565" s="1135"/>
      <c r="P565" s="1135"/>
    </row>
    <row r="566" spans="3:16">
      <c r="C566" s="1135"/>
      <c r="D566" s="1135"/>
      <c r="E566" s="1135"/>
      <c r="F566" s="1135"/>
      <c r="G566" s="1135"/>
      <c r="H566" s="1135"/>
      <c r="I566" s="1135"/>
      <c r="J566" s="1135"/>
      <c r="K566" s="1135"/>
      <c r="L566" s="1135"/>
      <c r="M566" s="1135"/>
      <c r="N566" s="1135"/>
      <c r="O566" s="1135"/>
      <c r="P566" s="1135"/>
    </row>
    <row r="567" spans="3:16">
      <c r="C567" s="1135"/>
      <c r="D567" s="1135"/>
      <c r="E567" s="1135"/>
      <c r="F567" s="1135"/>
      <c r="G567" s="1135"/>
      <c r="H567" s="1135"/>
      <c r="I567" s="1135"/>
      <c r="J567" s="1135"/>
      <c r="K567" s="1135"/>
      <c r="L567" s="1135"/>
      <c r="M567" s="1135"/>
      <c r="N567" s="1135"/>
      <c r="O567" s="1135"/>
      <c r="P567" s="1135"/>
    </row>
    <row r="568" spans="3:16">
      <c r="C568" s="1135"/>
      <c r="D568" s="1135"/>
      <c r="E568" s="1135"/>
      <c r="F568" s="1135"/>
      <c r="G568" s="1135"/>
      <c r="H568" s="1135"/>
      <c r="I568" s="1135"/>
      <c r="J568" s="1135"/>
      <c r="K568" s="1135"/>
      <c r="L568" s="1135"/>
      <c r="M568" s="1135"/>
      <c r="N568" s="1135"/>
      <c r="O568" s="1135"/>
      <c r="P568" s="1135"/>
    </row>
    <row r="569" spans="3:16">
      <c r="C569" s="1135"/>
      <c r="D569" s="1135"/>
      <c r="E569" s="1135"/>
      <c r="F569" s="1135"/>
      <c r="G569" s="1135"/>
      <c r="H569" s="1135"/>
      <c r="I569" s="1135"/>
      <c r="J569" s="1135"/>
      <c r="K569" s="1135"/>
      <c r="L569" s="1135"/>
      <c r="M569" s="1135"/>
      <c r="N569" s="1135"/>
      <c r="O569" s="1135"/>
      <c r="P569" s="1135"/>
    </row>
    <row r="570" spans="3:16">
      <c r="C570" s="1135"/>
      <c r="D570" s="1135"/>
      <c r="E570" s="1135"/>
      <c r="F570" s="1135"/>
      <c r="G570" s="1135"/>
      <c r="H570" s="1135"/>
      <c r="I570" s="1135"/>
      <c r="J570" s="1135"/>
      <c r="K570" s="1135"/>
      <c r="L570" s="1135"/>
      <c r="M570" s="1135"/>
      <c r="N570" s="1135"/>
      <c r="O570" s="1135"/>
      <c r="P570" s="1135"/>
    </row>
    <row r="571" spans="3:16">
      <c r="C571" s="1135"/>
      <c r="D571" s="1135"/>
      <c r="E571" s="1135"/>
      <c r="F571" s="1135"/>
      <c r="G571" s="1135"/>
      <c r="H571" s="1135"/>
      <c r="I571" s="1135"/>
      <c r="J571" s="1135"/>
      <c r="K571" s="1135"/>
      <c r="L571" s="1135"/>
      <c r="M571" s="1135"/>
      <c r="N571" s="1135"/>
      <c r="O571" s="1135"/>
      <c r="P571" s="1135"/>
    </row>
    <row r="572" spans="3:16">
      <c r="C572" s="1135"/>
      <c r="D572" s="1135"/>
      <c r="E572" s="1135"/>
      <c r="F572" s="1135"/>
      <c r="G572" s="1135"/>
      <c r="H572" s="1135"/>
      <c r="I572" s="1135"/>
      <c r="J572" s="1135"/>
      <c r="K572" s="1135"/>
      <c r="L572" s="1135"/>
      <c r="M572" s="1135"/>
      <c r="N572" s="1135"/>
      <c r="O572" s="1135"/>
      <c r="P572" s="1135"/>
    </row>
    <row r="573" spans="3:16">
      <c r="C573" s="1135"/>
      <c r="D573" s="1135"/>
      <c r="E573" s="1135"/>
      <c r="F573" s="1135"/>
      <c r="G573" s="1135"/>
      <c r="H573" s="1135"/>
      <c r="I573" s="1135"/>
      <c r="J573" s="1135"/>
      <c r="K573" s="1135"/>
      <c r="L573" s="1135"/>
      <c r="M573" s="1135"/>
      <c r="N573" s="1135"/>
      <c r="O573" s="1135"/>
      <c r="P573" s="1135"/>
    </row>
    <row r="574" spans="3:16">
      <c r="C574" s="1135"/>
      <c r="D574" s="1135"/>
      <c r="E574" s="1135"/>
      <c r="F574" s="1135"/>
      <c r="G574" s="1135"/>
      <c r="H574" s="1135"/>
      <c r="I574" s="1135"/>
      <c r="J574" s="1135"/>
      <c r="K574" s="1135"/>
      <c r="L574" s="1135"/>
      <c r="M574" s="1135"/>
      <c r="N574" s="1135"/>
      <c r="O574" s="1135"/>
      <c r="P574" s="1135"/>
    </row>
    <row r="575" spans="3:16">
      <c r="C575" s="1135"/>
      <c r="D575" s="1135"/>
      <c r="E575" s="1135"/>
      <c r="F575" s="1135"/>
      <c r="G575" s="1135"/>
      <c r="H575" s="1135"/>
      <c r="I575" s="1135"/>
      <c r="J575" s="1135"/>
      <c r="K575" s="1135"/>
      <c r="L575" s="1135"/>
      <c r="M575" s="1135"/>
      <c r="N575" s="1135"/>
      <c r="O575" s="1135"/>
      <c r="P575" s="1135"/>
    </row>
    <row r="576" spans="3:16">
      <c r="C576" s="1135"/>
      <c r="D576" s="1135"/>
      <c r="E576" s="1135"/>
      <c r="F576" s="1135"/>
      <c r="G576" s="1135"/>
      <c r="H576" s="1135"/>
      <c r="I576" s="1135"/>
      <c r="J576" s="1135"/>
      <c r="K576" s="1135"/>
      <c r="L576" s="1135"/>
      <c r="M576" s="1135"/>
      <c r="N576" s="1135"/>
      <c r="O576" s="1135"/>
      <c r="P576" s="1135"/>
    </row>
    <row r="577" spans="3:16">
      <c r="C577" s="1135"/>
      <c r="D577" s="1135"/>
      <c r="E577" s="1135"/>
      <c r="F577" s="1135"/>
      <c r="G577" s="1135"/>
      <c r="H577" s="1135"/>
      <c r="I577" s="1135"/>
      <c r="J577" s="1135"/>
      <c r="K577" s="1135"/>
      <c r="L577" s="1135"/>
      <c r="M577" s="1135"/>
      <c r="N577" s="1135"/>
      <c r="O577" s="1135"/>
      <c r="P577" s="1135"/>
    </row>
    <row r="578" spans="3:16">
      <c r="C578" s="1135"/>
      <c r="D578" s="1135"/>
      <c r="E578" s="1135"/>
      <c r="F578" s="1135"/>
      <c r="G578" s="1135"/>
      <c r="H578" s="1135"/>
      <c r="I578" s="1135"/>
      <c r="J578" s="1135"/>
      <c r="K578" s="1135"/>
      <c r="L578" s="1135"/>
      <c r="M578" s="1135"/>
      <c r="N578" s="1135"/>
      <c r="O578" s="1135"/>
      <c r="P578" s="1135"/>
    </row>
    <row r="579" spans="3:16">
      <c r="C579" s="1135"/>
      <c r="D579" s="1135"/>
      <c r="E579" s="1135"/>
      <c r="F579" s="1135"/>
      <c r="G579" s="1135"/>
      <c r="H579" s="1135"/>
      <c r="I579" s="1135"/>
      <c r="J579" s="1135"/>
      <c r="K579" s="1135"/>
      <c r="L579" s="1135"/>
      <c r="M579" s="1135"/>
      <c r="N579" s="1135"/>
      <c r="O579" s="1135"/>
      <c r="P579" s="1135"/>
    </row>
    <row r="580" spans="3:16">
      <c r="C580" s="1135"/>
      <c r="D580" s="1135"/>
      <c r="E580" s="1135"/>
      <c r="F580" s="1135"/>
      <c r="G580" s="1135"/>
      <c r="H580" s="1135"/>
      <c r="I580" s="1135"/>
      <c r="J580" s="1135"/>
      <c r="K580" s="1135"/>
      <c r="L580" s="1135"/>
      <c r="M580" s="1135"/>
      <c r="N580" s="1135"/>
      <c r="O580" s="1135"/>
      <c r="P580" s="1135"/>
    </row>
    <row r="581" spans="3:16">
      <c r="C581" s="1135"/>
      <c r="D581" s="1135"/>
      <c r="E581" s="1135"/>
      <c r="F581" s="1135"/>
      <c r="G581" s="1135"/>
      <c r="H581" s="1135"/>
      <c r="I581" s="1135"/>
      <c r="J581" s="1135"/>
      <c r="K581" s="1135"/>
      <c r="L581" s="1135"/>
      <c r="M581" s="1135"/>
      <c r="N581" s="1135"/>
      <c r="O581" s="1135"/>
      <c r="P581" s="1135"/>
    </row>
    <row r="582" spans="3:16">
      <c r="C582" s="1135"/>
      <c r="D582" s="1135"/>
      <c r="E582" s="1135"/>
      <c r="F582" s="1135"/>
      <c r="G582" s="1135"/>
      <c r="H582" s="1135"/>
      <c r="I582" s="1135"/>
      <c r="J582" s="1135"/>
      <c r="K582" s="1135"/>
      <c r="L582" s="1135"/>
      <c r="M582" s="1135"/>
      <c r="N582" s="1135"/>
      <c r="O582" s="1135"/>
      <c r="P582" s="1135"/>
    </row>
    <row r="583" spans="3:16">
      <c r="C583" s="1135"/>
      <c r="D583" s="1135"/>
      <c r="E583" s="1135"/>
      <c r="F583" s="1135"/>
      <c r="G583" s="1135"/>
      <c r="H583" s="1135"/>
      <c r="I583" s="1135"/>
      <c r="J583" s="1135"/>
      <c r="K583" s="1135"/>
      <c r="L583" s="1135"/>
      <c r="M583" s="1135"/>
      <c r="N583" s="1135"/>
      <c r="O583" s="1135"/>
      <c r="P583" s="1135"/>
    </row>
    <row r="584" spans="3:16">
      <c r="C584" s="1135"/>
      <c r="D584" s="1135"/>
      <c r="E584" s="1135"/>
      <c r="F584" s="1135"/>
      <c r="G584" s="1135"/>
      <c r="H584" s="1135"/>
      <c r="I584" s="1135"/>
      <c r="J584" s="1135"/>
      <c r="K584" s="1135"/>
      <c r="L584" s="1135"/>
      <c r="M584" s="1135"/>
      <c r="N584" s="1135"/>
      <c r="O584" s="1135"/>
      <c r="P584" s="1135"/>
    </row>
    <row r="585" spans="3:16">
      <c r="C585" s="1135"/>
      <c r="D585" s="1135"/>
      <c r="E585" s="1135"/>
      <c r="F585" s="1135"/>
      <c r="G585" s="1135"/>
      <c r="H585" s="1135"/>
      <c r="I585" s="1135"/>
      <c r="J585" s="1135"/>
      <c r="K585" s="1135"/>
      <c r="L585" s="1135"/>
      <c r="M585" s="1135"/>
      <c r="N585" s="1135"/>
      <c r="O585" s="1135"/>
      <c r="P585" s="1135"/>
    </row>
    <row r="586" spans="3:16">
      <c r="C586" s="1135"/>
      <c r="D586" s="1135"/>
      <c r="E586" s="1135"/>
      <c r="F586" s="1135"/>
      <c r="G586" s="1135"/>
      <c r="H586" s="1135"/>
      <c r="I586" s="1135"/>
      <c r="J586" s="1135"/>
      <c r="K586" s="1135"/>
      <c r="L586" s="1135"/>
      <c r="M586" s="1135"/>
      <c r="N586" s="1135"/>
      <c r="O586" s="1135"/>
      <c r="P586" s="1135"/>
    </row>
    <row r="587" spans="3:16">
      <c r="C587" s="1135"/>
      <c r="D587" s="1135"/>
      <c r="E587" s="1135"/>
      <c r="F587" s="1135"/>
      <c r="G587" s="1135"/>
      <c r="H587" s="1135"/>
      <c r="I587" s="1135"/>
      <c r="J587" s="1135"/>
      <c r="K587" s="1135"/>
      <c r="L587" s="1135"/>
      <c r="M587" s="1135"/>
      <c r="N587" s="1135"/>
      <c r="O587" s="1135"/>
      <c r="P587" s="1135"/>
    </row>
    <row r="588" spans="3:16">
      <c r="C588" s="1135"/>
      <c r="D588" s="1135"/>
      <c r="E588" s="1135"/>
      <c r="F588" s="1135"/>
      <c r="G588" s="1135"/>
      <c r="H588" s="1135"/>
      <c r="I588" s="1135"/>
      <c r="J588" s="1135"/>
      <c r="K588" s="1135"/>
      <c r="L588" s="1135"/>
      <c r="M588" s="1135"/>
      <c r="N588" s="1135"/>
      <c r="O588" s="1135"/>
      <c r="P588" s="1135"/>
    </row>
    <row r="589" spans="3:16">
      <c r="C589" s="1135"/>
      <c r="D589" s="1135"/>
      <c r="E589" s="1135"/>
      <c r="F589" s="1135"/>
      <c r="G589" s="1135"/>
      <c r="H589" s="1135"/>
      <c r="I589" s="1135"/>
      <c r="J589" s="1135"/>
      <c r="K589" s="1135"/>
      <c r="L589" s="1135"/>
      <c r="M589" s="1135"/>
      <c r="N589" s="1135"/>
      <c r="O589" s="1135"/>
      <c r="P589" s="1135"/>
    </row>
    <row r="590" spans="3:16">
      <c r="C590" s="1135"/>
      <c r="D590" s="1135"/>
      <c r="E590" s="1135"/>
      <c r="F590" s="1135"/>
      <c r="G590" s="1135"/>
      <c r="H590" s="1135"/>
      <c r="I590" s="1135"/>
      <c r="J590" s="1135"/>
      <c r="K590" s="1135"/>
      <c r="L590" s="1135"/>
      <c r="M590" s="1135"/>
      <c r="N590" s="1135"/>
      <c r="O590" s="1135"/>
      <c r="P590" s="1135"/>
    </row>
    <row r="591" spans="3:16">
      <c r="C591" s="1135"/>
      <c r="D591" s="1135"/>
      <c r="E591" s="1135"/>
      <c r="F591" s="1135"/>
      <c r="G591" s="1135"/>
      <c r="H591" s="1135"/>
      <c r="I591" s="1135"/>
      <c r="J591" s="1135"/>
      <c r="K591" s="1135"/>
      <c r="L591" s="1135"/>
      <c r="M591" s="1135"/>
      <c r="N591" s="1135"/>
      <c r="O591" s="1135"/>
      <c r="P591" s="1135"/>
    </row>
    <row r="592" spans="3:16">
      <c r="C592" s="1135"/>
      <c r="D592" s="1135"/>
      <c r="E592" s="1135"/>
      <c r="F592" s="1135"/>
      <c r="G592" s="1135"/>
      <c r="H592" s="1135"/>
      <c r="I592" s="1135"/>
      <c r="J592" s="1135"/>
      <c r="K592" s="1135"/>
      <c r="L592" s="1135"/>
      <c r="M592" s="1135"/>
      <c r="N592" s="1135"/>
      <c r="O592" s="1135"/>
      <c r="P592" s="1135"/>
    </row>
    <row r="593" spans="3:16">
      <c r="C593" s="1135"/>
      <c r="D593" s="1135"/>
      <c r="E593" s="1135"/>
      <c r="F593" s="1135"/>
      <c r="G593" s="1135"/>
      <c r="H593" s="1135"/>
      <c r="I593" s="1135"/>
      <c r="J593" s="1135"/>
      <c r="K593" s="1135"/>
      <c r="L593" s="1135"/>
      <c r="M593" s="1135"/>
      <c r="N593" s="1135"/>
      <c r="O593" s="1135"/>
      <c r="P593" s="1135"/>
    </row>
    <row r="594" spans="3:16">
      <c r="C594" s="1135"/>
      <c r="D594" s="1135"/>
      <c r="E594" s="1135"/>
      <c r="F594" s="1135"/>
      <c r="G594" s="1135"/>
      <c r="H594" s="1135"/>
      <c r="I594" s="1135"/>
      <c r="J594" s="1135"/>
      <c r="K594" s="1135"/>
      <c r="L594" s="1135"/>
      <c r="M594" s="1135"/>
      <c r="N594" s="1135"/>
      <c r="O594" s="1135"/>
      <c r="P594" s="1135"/>
    </row>
    <row r="595" spans="3:16">
      <c r="C595" s="1135"/>
      <c r="D595" s="1135"/>
      <c r="E595" s="1135"/>
      <c r="F595" s="1135"/>
      <c r="G595" s="1135"/>
      <c r="H595" s="1135"/>
      <c r="I595" s="1135"/>
      <c r="J595" s="1135"/>
      <c r="K595" s="1135"/>
      <c r="L595" s="1135"/>
      <c r="M595" s="1135"/>
      <c r="N595" s="1135"/>
      <c r="O595" s="1135"/>
      <c r="P595" s="1135"/>
    </row>
    <row r="596" spans="3:16">
      <c r="C596" s="1135"/>
      <c r="D596" s="1135"/>
      <c r="E596" s="1135"/>
      <c r="F596" s="1135"/>
      <c r="G596" s="1135"/>
      <c r="H596" s="1135"/>
      <c r="I596" s="1135"/>
      <c r="J596" s="1135"/>
      <c r="K596" s="1135"/>
      <c r="L596" s="1135"/>
      <c r="M596" s="1135"/>
      <c r="N596" s="1135"/>
      <c r="O596" s="1135"/>
      <c r="P596" s="1135"/>
    </row>
    <row r="597" spans="3:16">
      <c r="C597" s="1135"/>
      <c r="D597" s="1135"/>
      <c r="E597" s="1135"/>
      <c r="F597" s="1135"/>
      <c r="G597" s="1135"/>
      <c r="H597" s="1135"/>
      <c r="I597" s="1135"/>
      <c r="J597" s="1135"/>
      <c r="K597" s="1135"/>
      <c r="L597" s="1135"/>
      <c r="M597" s="1135"/>
      <c r="N597" s="1135"/>
      <c r="O597" s="1135"/>
      <c r="P597" s="1135"/>
    </row>
    <row r="598" spans="3:16">
      <c r="C598" s="1135"/>
      <c r="D598" s="1135"/>
      <c r="E598" s="1135"/>
      <c r="F598" s="1135"/>
      <c r="G598" s="1135"/>
      <c r="H598" s="1135"/>
      <c r="I598" s="1135"/>
      <c r="J598" s="1135"/>
      <c r="K598" s="1135"/>
      <c r="L598" s="1135"/>
      <c r="M598" s="1135"/>
      <c r="N598" s="1135"/>
      <c r="O598" s="1135"/>
      <c r="P598" s="1135"/>
    </row>
    <row r="599" spans="3:16">
      <c r="C599" s="1135"/>
      <c r="D599" s="1135"/>
      <c r="E599" s="1135"/>
      <c r="F599" s="1135"/>
      <c r="G599" s="1135"/>
      <c r="H599" s="1135"/>
      <c r="I599" s="1135"/>
      <c r="J599" s="1135"/>
      <c r="K599" s="1135"/>
      <c r="L599" s="1135"/>
      <c r="M599" s="1135"/>
      <c r="N599" s="1135"/>
      <c r="O599" s="1135"/>
      <c r="P599" s="1135"/>
    </row>
    <row r="600" spans="3:16">
      <c r="C600" s="1135"/>
      <c r="D600" s="1135"/>
      <c r="E600" s="1135"/>
      <c r="F600" s="1135"/>
      <c r="G600" s="1135"/>
      <c r="H600" s="1135"/>
      <c r="I600" s="1135"/>
      <c r="J600" s="1135"/>
      <c r="K600" s="1135"/>
      <c r="L600" s="1135"/>
      <c r="M600" s="1135"/>
      <c r="N600" s="1135"/>
      <c r="O600" s="1135"/>
      <c r="P600" s="1135"/>
    </row>
    <row r="601" spans="3:16">
      <c r="C601" s="1135"/>
      <c r="D601" s="1135"/>
      <c r="E601" s="1135"/>
      <c r="F601" s="1135"/>
      <c r="G601" s="1135"/>
      <c r="H601" s="1135"/>
      <c r="I601" s="1135"/>
      <c r="J601" s="1135"/>
      <c r="K601" s="1135"/>
      <c r="L601" s="1135"/>
      <c r="M601" s="1135"/>
      <c r="N601" s="1135"/>
      <c r="O601" s="1135"/>
      <c r="P601" s="1135"/>
    </row>
    <row r="602" spans="3:16">
      <c r="C602" s="1135"/>
      <c r="D602" s="1135"/>
      <c r="E602" s="1135"/>
      <c r="F602" s="1135"/>
      <c r="G602" s="1135"/>
      <c r="H602" s="1135"/>
      <c r="I602" s="1135"/>
      <c r="J602" s="1135"/>
      <c r="K602" s="1135"/>
      <c r="L602" s="1135"/>
      <c r="M602" s="1135"/>
      <c r="N602" s="1135"/>
      <c r="O602" s="1135"/>
      <c r="P602" s="1135"/>
    </row>
    <row r="603" spans="3:16">
      <c r="C603" s="1135"/>
      <c r="D603" s="1135"/>
      <c r="E603" s="1135"/>
      <c r="F603" s="1135"/>
      <c r="G603" s="1135"/>
      <c r="H603" s="1135"/>
      <c r="I603" s="1135"/>
      <c r="J603" s="1135"/>
      <c r="K603" s="1135"/>
      <c r="L603" s="1135"/>
      <c r="M603" s="1135"/>
      <c r="N603" s="1135"/>
      <c r="O603" s="1135"/>
      <c r="P603" s="1135"/>
    </row>
    <row r="604" spans="3:16">
      <c r="C604" s="1135"/>
      <c r="D604" s="1135"/>
      <c r="E604" s="1135"/>
      <c r="F604" s="1135"/>
      <c r="G604" s="1135"/>
      <c r="H604" s="1135"/>
      <c r="I604" s="1135"/>
      <c r="J604" s="1135"/>
      <c r="K604" s="1135"/>
      <c r="L604" s="1135"/>
      <c r="M604" s="1135"/>
      <c r="N604" s="1135"/>
      <c r="O604" s="1135"/>
      <c r="P604" s="1135"/>
    </row>
    <row r="605" spans="3:16">
      <c r="C605" s="1135"/>
      <c r="D605" s="1135"/>
      <c r="E605" s="1135"/>
      <c r="F605" s="1135"/>
      <c r="G605" s="1135"/>
      <c r="H605" s="1135"/>
      <c r="I605" s="1135"/>
      <c r="J605" s="1135"/>
      <c r="K605" s="1135"/>
      <c r="L605" s="1135"/>
      <c r="M605" s="1135"/>
      <c r="N605" s="1135"/>
      <c r="O605" s="1135"/>
      <c r="P605" s="1135"/>
    </row>
    <row r="606" spans="3:16">
      <c r="C606" s="1135"/>
      <c r="D606" s="1135"/>
      <c r="E606" s="1135"/>
      <c r="F606" s="1135"/>
      <c r="G606" s="1135"/>
      <c r="H606" s="1135"/>
      <c r="I606" s="1135"/>
      <c r="J606" s="1135"/>
      <c r="K606" s="1135"/>
      <c r="L606" s="1135"/>
      <c r="M606" s="1135"/>
      <c r="N606" s="1135"/>
      <c r="O606" s="1135"/>
      <c r="P606" s="1135"/>
    </row>
    <row r="607" spans="3:16">
      <c r="C607" s="1135"/>
      <c r="D607" s="1135"/>
      <c r="E607" s="1135"/>
      <c r="F607" s="1135"/>
      <c r="G607" s="1135"/>
      <c r="H607" s="1135"/>
      <c r="I607" s="1135"/>
      <c r="J607" s="1135"/>
      <c r="K607" s="1135"/>
      <c r="L607" s="1135"/>
      <c r="M607" s="1135"/>
      <c r="N607" s="1135"/>
      <c r="O607" s="1135"/>
      <c r="P607" s="1135"/>
    </row>
    <row r="608" spans="3:16">
      <c r="C608" s="1135"/>
      <c r="D608" s="1135"/>
      <c r="E608" s="1135"/>
      <c r="F608" s="1135"/>
      <c r="G608" s="1135"/>
      <c r="H608" s="1135"/>
      <c r="I608" s="1135"/>
      <c r="J608" s="1135"/>
      <c r="K608" s="1135"/>
      <c r="L608" s="1135"/>
      <c r="M608" s="1135"/>
      <c r="N608" s="1135"/>
      <c r="O608" s="1135"/>
      <c r="P608" s="1135"/>
    </row>
    <row r="609" spans="3:16">
      <c r="C609" s="1135"/>
      <c r="D609" s="1135"/>
      <c r="E609" s="1135"/>
      <c r="F609" s="1135"/>
      <c r="G609" s="1135"/>
      <c r="H609" s="1135"/>
      <c r="I609" s="1135"/>
      <c r="J609" s="1135"/>
      <c r="K609" s="1135"/>
      <c r="L609" s="1135"/>
      <c r="M609" s="1135"/>
      <c r="N609" s="1135"/>
      <c r="O609" s="1135"/>
      <c r="P609" s="1135"/>
    </row>
    <row r="610" spans="3:16">
      <c r="C610" s="1135"/>
      <c r="D610" s="1135"/>
      <c r="E610" s="1135"/>
      <c r="F610" s="1135"/>
      <c r="G610" s="1135"/>
      <c r="H610" s="1135"/>
      <c r="I610" s="1135"/>
      <c r="J610" s="1135"/>
      <c r="K610" s="1135"/>
      <c r="L610" s="1135"/>
      <c r="M610" s="1135"/>
      <c r="N610" s="1135"/>
      <c r="O610" s="1135"/>
      <c r="P610" s="1135"/>
    </row>
    <row r="611" spans="3:16">
      <c r="C611" s="1135"/>
      <c r="D611" s="1135"/>
      <c r="E611" s="1135"/>
      <c r="F611" s="1135"/>
      <c r="G611" s="1135"/>
      <c r="H611" s="1135"/>
      <c r="I611" s="1135"/>
      <c r="J611" s="1135"/>
      <c r="K611" s="1135"/>
      <c r="L611" s="1135"/>
      <c r="M611" s="1135"/>
      <c r="N611" s="1135"/>
      <c r="O611" s="1135"/>
      <c r="P611" s="1135"/>
    </row>
    <row r="612" spans="3:16">
      <c r="C612" s="1135"/>
      <c r="D612" s="1135"/>
      <c r="E612" s="1135"/>
      <c r="F612" s="1135"/>
      <c r="G612" s="1135"/>
      <c r="H612" s="1135"/>
      <c r="I612" s="1135"/>
      <c r="J612" s="1135"/>
      <c r="K612" s="1135"/>
      <c r="L612" s="1135"/>
      <c r="M612" s="1135"/>
      <c r="N612" s="1135"/>
      <c r="O612" s="1135"/>
      <c r="P612" s="1135"/>
    </row>
    <row r="613" spans="3:16">
      <c r="C613" s="1135"/>
      <c r="D613" s="1135"/>
      <c r="E613" s="1135"/>
      <c r="F613" s="1135"/>
      <c r="G613" s="1135"/>
      <c r="H613" s="1135"/>
      <c r="I613" s="1135"/>
      <c r="J613" s="1135"/>
      <c r="K613" s="1135"/>
      <c r="L613" s="1135"/>
      <c r="M613" s="1135"/>
      <c r="N613" s="1135"/>
      <c r="O613" s="1135"/>
      <c r="P613" s="1135"/>
    </row>
    <row r="614" spans="3:16">
      <c r="C614" s="1135"/>
      <c r="D614" s="1135"/>
      <c r="E614" s="1135"/>
      <c r="F614" s="1135"/>
      <c r="G614" s="1135"/>
      <c r="H614" s="1135"/>
      <c r="I614" s="1135"/>
      <c r="J614" s="1135"/>
      <c r="K614" s="1135"/>
      <c r="L614" s="1135"/>
      <c r="M614" s="1135"/>
      <c r="N614" s="1135"/>
      <c r="O614" s="1135"/>
      <c r="P614" s="1135"/>
    </row>
    <row r="615" spans="3:16">
      <c r="C615" s="1135"/>
      <c r="D615" s="1135"/>
      <c r="E615" s="1135"/>
      <c r="F615" s="1135"/>
      <c r="G615" s="1135"/>
      <c r="H615" s="1135"/>
      <c r="I615" s="1135"/>
      <c r="J615" s="1135"/>
      <c r="K615" s="1135"/>
      <c r="L615" s="1135"/>
      <c r="M615" s="1135"/>
      <c r="N615" s="1135"/>
      <c r="O615" s="1135"/>
      <c r="P615" s="1135"/>
    </row>
    <row r="616" spans="3:16">
      <c r="C616" s="1135"/>
      <c r="D616" s="1135"/>
      <c r="E616" s="1135"/>
      <c r="F616" s="1135"/>
      <c r="G616" s="1135"/>
      <c r="H616" s="1135"/>
      <c r="I616" s="1135"/>
      <c r="J616" s="1135"/>
      <c r="K616" s="1135"/>
      <c r="L616" s="1135"/>
      <c r="M616" s="1135"/>
      <c r="N616" s="1135"/>
      <c r="O616" s="1135"/>
      <c r="P616" s="1135"/>
    </row>
    <row r="617" spans="3:16">
      <c r="C617" s="1135"/>
      <c r="D617" s="1135"/>
      <c r="E617" s="1135"/>
      <c r="F617" s="1135"/>
      <c r="G617" s="1135"/>
      <c r="H617" s="1135"/>
      <c r="I617" s="1135"/>
      <c r="J617" s="1135"/>
      <c r="K617" s="1135"/>
      <c r="L617" s="1135"/>
      <c r="M617" s="1135"/>
      <c r="N617" s="1135"/>
      <c r="O617" s="1135"/>
      <c r="P617" s="1135"/>
    </row>
    <row r="618" spans="3:16">
      <c r="C618" s="1135"/>
      <c r="D618" s="1135"/>
      <c r="E618" s="1135"/>
      <c r="F618" s="1135"/>
      <c r="G618" s="1135"/>
      <c r="H618" s="1135"/>
      <c r="I618" s="1135"/>
      <c r="J618" s="1135"/>
      <c r="K618" s="1135"/>
      <c r="L618" s="1135"/>
      <c r="M618" s="1135"/>
      <c r="N618" s="1135"/>
      <c r="O618" s="1135"/>
      <c r="P618" s="1135"/>
    </row>
    <row r="619" spans="3:16">
      <c r="C619" s="1135"/>
      <c r="D619" s="1135"/>
      <c r="E619" s="1135"/>
      <c r="F619" s="1135"/>
      <c r="G619" s="1135"/>
      <c r="H619" s="1135"/>
      <c r="I619" s="1135"/>
      <c r="J619" s="1135"/>
      <c r="K619" s="1135"/>
      <c r="L619" s="1135"/>
      <c r="M619" s="1135"/>
      <c r="N619" s="1135"/>
      <c r="O619" s="1135"/>
      <c r="P619" s="1135"/>
    </row>
    <row r="620" spans="3:16">
      <c r="C620" s="1135"/>
      <c r="D620" s="1135"/>
      <c r="E620" s="1135"/>
      <c r="F620" s="1135"/>
      <c r="G620" s="1135"/>
      <c r="H620" s="1135"/>
      <c r="I620" s="1135"/>
      <c r="J620" s="1135"/>
      <c r="K620" s="1135"/>
      <c r="L620" s="1135"/>
      <c r="M620" s="1135"/>
      <c r="N620" s="1135"/>
      <c r="O620" s="1135"/>
      <c r="P620" s="1135"/>
    </row>
    <row r="621" spans="3:16">
      <c r="C621" s="1135"/>
      <c r="D621" s="1135"/>
      <c r="E621" s="1135"/>
      <c r="F621" s="1135"/>
      <c r="G621" s="1135"/>
      <c r="H621" s="1135"/>
      <c r="I621" s="1135"/>
      <c r="J621" s="1135"/>
      <c r="K621" s="1135"/>
      <c r="L621" s="1135"/>
      <c r="M621" s="1135"/>
      <c r="N621" s="1135"/>
      <c r="O621" s="1135"/>
      <c r="P621" s="1135"/>
    </row>
    <row r="622" spans="3:16">
      <c r="C622" s="1135"/>
      <c r="D622" s="1135"/>
      <c r="E622" s="1135"/>
      <c r="F622" s="1135"/>
      <c r="G622" s="1135"/>
      <c r="H622" s="1135"/>
      <c r="I622" s="1135"/>
      <c r="J622" s="1135"/>
      <c r="K622" s="1135"/>
      <c r="L622" s="1135"/>
      <c r="M622" s="1135"/>
      <c r="N622" s="1135"/>
      <c r="O622" s="1135"/>
      <c r="P622" s="1135"/>
    </row>
    <row r="623" spans="3:16">
      <c r="C623" s="1135"/>
      <c r="D623" s="1135"/>
      <c r="E623" s="1135"/>
      <c r="F623" s="1135"/>
      <c r="G623" s="1135"/>
      <c r="H623" s="1135"/>
      <c r="I623" s="1135"/>
      <c r="J623" s="1135"/>
      <c r="K623" s="1135"/>
      <c r="L623" s="1135"/>
      <c r="M623" s="1135"/>
      <c r="N623" s="1135"/>
      <c r="O623" s="1135"/>
      <c r="P623" s="1135"/>
    </row>
    <row r="624" spans="3:16">
      <c r="C624" s="1135"/>
      <c r="D624" s="1135"/>
      <c r="E624" s="1135"/>
      <c r="F624" s="1135"/>
      <c r="G624" s="1135"/>
      <c r="H624" s="1135"/>
      <c r="I624" s="1135"/>
      <c r="J624" s="1135"/>
      <c r="K624" s="1135"/>
      <c r="L624" s="1135"/>
      <c r="M624" s="1135"/>
      <c r="N624" s="1135"/>
      <c r="O624" s="1135"/>
      <c r="P624" s="1135"/>
    </row>
    <row r="625" spans="3:16">
      <c r="C625" s="1135"/>
      <c r="D625" s="1135"/>
      <c r="E625" s="1135"/>
      <c r="F625" s="1135"/>
      <c r="G625" s="1135"/>
      <c r="H625" s="1135"/>
      <c r="I625" s="1135"/>
      <c r="J625" s="1135"/>
      <c r="K625" s="1135"/>
      <c r="L625" s="1135"/>
      <c r="M625" s="1135"/>
      <c r="N625" s="1135"/>
      <c r="O625" s="1135"/>
      <c r="P625" s="1135"/>
    </row>
    <row r="626" spans="3:16">
      <c r="C626" s="1135"/>
      <c r="D626" s="1135"/>
      <c r="E626" s="1135"/>
      <c r="F626" s="1135"/>
      <c r="G626" s="1135"/>
      <c r="H626" s="1135"/>
      <c r="I626" s="1135"/>
      <c r="J626" s="1135"/>
      <c r="K626" s="1135"/>
      <c r="L626" s="1135"/>
      <c r="M626" s="1135"/>
      <c r="N626" s="1135"/>
      <c r="O626" s="1135"/>
      <c r="P626" s="1135"/>
    </row>
    <row r="627" spans="3:16">
      <c r="C627" s="1135"/>
      <c r="D627" s="1135"/>
      <c r="E627" s="1135"/>
      <c r="F627" s="1135"/>
      <c r="G627" s="1135"/>
      <c r="H627" s="1135"/>
      <c r="I627" s="1135"/>
      <c r="J627" s="1135"/>
      <c r="K627" s="1135"/>
      <c r="L627" s="1135"/>
      <c r="M627" s="1135"/>
      <c r="N627" s="1135"/>
      <c r="O627" s="1135"/>
      <c r="P627" s="1135"/>
    </row>
    <row r="628" spans="3:16">
      <c r="C628" s="1135"/>
      <c r="D628" s="1135"/>
      <c r="E628" s="1135"/>
      <c r="F628" s="1135"/>
      <c r="G628" s="1135"/>
      <c r="H628" s="1135"/>
      <c r="I628" s="1135"/>
      <c r="J628" s="1135"/>
      <c r="K628" s="1135"/>
      <c r="L628" s="1135"/>
      <c r="M628" s="1135"/>
      <c r="N628" s="1135"/>
      <c r="O628" s="1135"/>
      <c r="P628" s="1135"/>
    </row>
    <row r="629" spans="3:16">
      <c r="C629" s="1135"/>
      <c r="D629" s="1135"/>
      <c r="E629" s="1135"/>
      <c r="F629" s="1135"/>
      <c r="G629" s="1135"/>
      <c r="H629" s="1135"/>
      <c r="I629" s="1135"/>
      <c r="J629" s="1135"/>
      <c r="K629" s="1135"/>
      <c r="L629" s="1135"/>
      <c r="M629" s="1135"/>
      <c r="N629" s="1135"/>
      <c r="O629" s="1135"/>
      <c r="P629" s="1135"/>
    </row>
    <row r="630" spans="3:16">
      <c r="C630" s="1135"/>
      <c r="D630" s="1135"/>
      <c r="E630" s="1135"/>
      <c r="F630" s="1135"/>
      <c r="G630" s="1135"/>
      <c r="H630" s="1135"/>
      <c r="I630" s="1135"/>
      <c r="J630" s="1135"/>
      <c r="K630" s="1135"/>
      <c r="L630" s="1135"/>
      <c r="M630" s="1135"/>
      <c r="N630" s="1135"/>
      <c r="O630" s="1135"/>
      <c r="P630" s="1135"/>
    </row>
    <row r="631" spans="3:16">
      <c r="C631" s="1135"/>
      <c r="D631" s="1135"/>
      <c r="E631" s="1135"/>
      <c r="F631" s="1135"/>
      <c r="G631" s="1135"/>
      <c r="H631" s="1135"/>
      <c r="I631" s="1135"/>
      <c r="J631" s="1135"/>
      <c r="K631" s="1135"/>
      <c r="L631" s="1135"/>
      <c r="M631" s="1135"/>
      <c r="N631" s="1135"/>
      <c r="O631" s="1135"/>
      <c r="P631" s="1135"/>
    </row>
    <row r="632" spans="3:16">
      <c r="C632" s="1135"/>
      <c r="D632" s="1135"/>
      <c r="E632" s="1135"/>
      <c r="F632" s="1135"/>
      <c r="G632" s="1135"/>
      <c r="H632" s="1135"/>
      <c r="I632" s="1135"/>
      <c r="J632" s="1135"/>
      <c r="K632" s="1135"/>
      <c r="L632" s="1135"/>
      <c r="M632" s="1135"/>
      <c r="N632" s="1135"/>
      <c r="O632" s="1135"/>
      <c r="P632" s="1135"/>
    </row>
    <row r="633" spans="3:16">
      <c r="C633" s="1135"/>
      <c r="D633" s="1135"/>
      <c r="E633" s="1135"/>
      <c r="F633" s="1135"/>
      <c r="G633" s="1135"/>
      <c r="H633" s="1135"/>
      <c r="I633" s="1135"/>
      <c r="J633" s="1135"/>
      <c r="K633" s="1135"/>
      <c r="L633" s="1135"/>
      <c r="M633" s="1135"/>
      <c r="N633" s="1135"/>
      <c r="O633" s="1135"/>
      <c r="P633" s="1135"/>
    </row>
    <row r="634" spans="3:16">
      <c r="C634" s="1135"/>
      <c r="D634" s="1135"/>
      <c r="E634" s="1135"/>
      <c r="F634" s="1135"/>
      <c r="G634" s="1135"/>
      <c r="H634" s="1135"/>
      <c r="I634" s="1135"/>
      <c r="J634" s="1135"/>
      <c r="K634" s="1135"/>
      <c r="L634" s="1135"/>
      <c r="M634" s="1135"/>
      <c r="N634" s="1135"/>
      <c r="O634" s="1135"/>
      <c r="P634" s="1135"/>
    </row>
    <row r="635" spans="3:16">
      <c r="C635" s="1135"/>
      <c r="D635" s="1135"/>
      <c r="E635" s="1135"/>
      <c r="F635" s="1135"/>
      <c r="G635" s="1135"/>
      <c r="H635" s="1135"/>
      <c r="I635" s="1135"/>
      <c r="J635" s="1135"/>
      <c r="K635" s="1135"/>
      <c r="L635" s="1135"/>
      <c r="M635" s="1135"/>
      <c r="N635" s="1135"/>
      <c r="O635" s="1135"/>
      <c r="P635" s="1135"/>
    </row>
    <row r="636" spans="3:16">
      <c r="C636" s="1135"/>
      <c r="D636" s="1135"/>
      <c r="E636" s="1135"/>
      <c r="F636" s="1135"/>
      <c r="G636" s="1135"/>
      <c r="H636" s="1135"/>
      <c r="I636" s="1135"/>
      <c r="J636" s="1135"/>
      <c r="K636" s="1135"/>
      <c r="L636" s="1135"/>
      <c r="M636" s="1135"/>
      <c r="N636" s="1135"/>
      <c r="O636" s="1135"/>
      <c r="P636" s="1135"/>
    </row>
    <row r="637" spans="3:16">
      <c r="C637" s="1135"/>
      <c r="D637" s="1135"/>
      <c r="E637" s="1135"/>
      <c r="F637" s="1135"/>
      <c r="G637" s="1135"/>
      <c r="H637" s="1135"/>
      <c r="I637" s="1135"/>
      <c r="J637" s="1135"/>
      <c r="K637" s="1135"/>
      <c r="L637" s="1135"/>
      <c r="M637" s="1135"/>
      <c r="N637" s="1135"/>
      <c r="O637" s="1135"/>
      <c r="P637" s="1135"/>
    </row>
    <row r="638" spans="3:16">
      <c r="C638" s="1135"/>
      <c r="D638" s="1135"/>
      <c r="E638" s="1135"/>
      <c r="F638" s="1135"/>
      <c r="G638" s="1135"/>
      <c r="H638" s="1135"/>
      <c r="I638" s="1135"/>
      <c r="J638" s="1135"/>
      <c r="K638" s="1135"/>
      <c r="L638" s="1135"/>
      <c r="M638" s="1135"/>
      <c r="N638" s="1135"/>
      <c r="O638" s="1135"/>
      <c r="P638" s="1135"/>
    </row>
    <row r="639" spans="3:16">
      <c r="C639" s="1135"/>
      <c r="D639" s="1135"/>
      <c r="E639" s="1135"/>
      <c r="F639" s="1135"/>
      <c r="G639" s="1135"/>
      <c r="H639" s="1135"/>
      <c r="I639" s="1135"/>
      <c r="J639" s="1135"/>
      <c r="K639" s="1135"/>
      <c r="L639" s="1135"/>
      <c r="M639" s="1135"/>
      <c r="N639" s="1135"/>
      <c r="O639" s="1135"/>
      <c r="P639" s="1135"/>
    </row>
    <row r="640" spans="3:16">
      <c r="C640" s="1135"/>
      <c r="D640" s="1135"/>
      <c r="E640" s="1135"/>
      <c r="F640" s="1135"/>
      <c r="G640" s="1135"/>
      <c r="H640" s="1135"/>
      <c r="I640" s="1135"/>
      <c r="J640" s="1135"/>
      <c r="K640" s="1135"/>
      <c r="L640" s="1135"/>
      <c r="M640" s="1135"/>
      <c r="N640" s="1135"/>
      <c r="O640" s="1135"/>
      <c r="P640" s="1135"/>
    </row>
    <row r="641" spans="3:16">
      <c r="C641" s="1135"/>
      <c r="D641" s="1135"/>
      <c r="E641" s="1135"/>
      <c r="F641" s="1135"/>
      <c r="G641" s="1135"/>
      <c r="H641" s="1135"/>
      <c r="I641" s="1135"/>
      <c r="J641" s="1135"/>
      <c r="K641" s="1135"/>
      <c r="L641" s="1135"/>
      <c r="M641" s="1135"/>
      <c r="N641" s="1135"/>
      <c r="O641" s="1135"/>
      <c r="P641" s="1135"/>
    </row>
    <row r="642" spans="3:16">
      <c r="C642" s="1135"/>
      <c r="D642" s="1135"/>
      <c r="E642" s="1135"/>
      <c r="F642" s="1135"/>
      <c r="G642" s="1135"/>
      <c r="H642" s="1135"/>
      <c r="I642" s="1135"/>
      <c r="J642" s="1135"/>
      <c r="K642" s="1135"/>
      <c r="L642" s="1135"/>
      <c r="M642" s="1135"/>
      <c r="N642" s="1135"/>
      <c r="O642" s="1135"/>
      <c r="P642" s="1135"/>
    </row>
    <row r="643" spans="3:16">
      <c r="C643" s="1135"/>
      <c r="D643" s="1135"/>
      <c r="E643" s="1135"/>
      <c r="F643" s="1135"/>
      <c r="G643" s="1135"/>
      <c r="H643" s="1135"/>
      <c r="I643" s="1135"/>
      <c r="J643" s="1135"/>
      <c r="K643" s="1135"/>
      <c r="L643" s="1135"/>
      <c r="M643" s="1135"/>
      <c r="N643" s="1135"/>
      <c r="O643" s="1135"/>
      <c r="P643" s="1135"/>
    </row>
    <row r="644" spans="3:16">
      <c r="C644" s="1135"/>
      <c r="D644" s="1135"/>
      <c r="E644" s="1135"/>
      <c r="F644" s="1135"/>
      <c r="G644" s="1135"/>
      <c r="H644" s="1135"/>
      <c r="I644" s="1135"/>
      <c r="J644" s="1135"/>
      <c r="K644" s="1135"/>
      <c r="L644" s="1135"/>
      <c r="M644" s="1135"/>
      <c r="N644" s="1135"/>
      <c r="O644" s="1135"/>
      <c r="P644" s="1135"/>
    </row>
    <row r="645" spans="3:16">
      <c r="C645" s="1135"/>
      <c r="D645" s="1135"/>
      <c r="E645" s="1135"/>
      <c r="F645" s="1135"/>
      <c r="G645" s="1135"/>
      <c r="H645" s="1135"/>
      <c r="I645" s="1135"/>
      <c r="J645" s="1135"/>
      <c r="K645" s="1135"/>
      <c r="L645" s="1135"/>
      <c r="M645" s="1135"/>
      <c r="N645" s="1135"/>
      <c r="O645" s="1135"/>
      <c r="P645" s="1135"/>
    </row>
    <row r="646" spans="3:16">
      <c r="C646" s="1135"/>
      <c r="D646" s="1135"/>
      <c r="E646" s="1135"/>
      <c r="F646" s="1135"/>
      <c r="G646" s="1135"/>
      <c r="H646" s="1135"/>
      <c r="I646" s="1135"/>
      <c r="J646" s="1135"/>
      <c r="K646" s="1135"/>
      <c r="L646" s="1135"/>
      <c r="M646" s="1135"/>
      <c r="N646" s="1135"/>
      <c r="O646" s="1135"/>
      <c r="P646" s="1135"/>
    </row>
    <row r="647" spans="3:16">
      <c r="C647" s="1135"/>
      <c r="D647" s="1135"/>
      <c r="E647" s="1135"/>
      <c r="F647" s="1135"/>
      <c r="G647" s="1135"/>
      <c r="H647" s="1135"/>
      <c r="I647" s="1135"/>
      <c r="J647" s="1135"/>
      <c r="K647" s="1135"/>
      <c r="L647" s="1135"/>
      <c r="M647" s="1135"/>
      <c r="N647" s="1135"/>
      <c r="O647" s="1135"/>
      <c r="P647" s="1135"/>
    </row>
    <row r="648" spans="3:16">
      <c r="C648" s="1135"/>
      <c r="D648" s="1135"/>
      <c r="E648" s="1135"/>
      <c r="F648" s="1135"/>
      <c r="G648" s="1135"/>
      <c r="H648" s="1135"/>
      <c r="I648" s="1135"/>
      <c r="J648" s="1135"/>
      <c r="K648" s="1135"/>
      <c r="L648" s="1135"/>
      <c r="M648" s="1135"/>
      <c r="N648" s="1135"/>
      <c r="O648" s="1135"/>
      <c r="P648" s="1135"/>
    </row>
    <row r="649" spans="3:16">
      <c r="C649" s="1135"/>
      <c r="D649" s="1135"/>
      <c r="E649" s="1135"/>
      <c r="F649" s="1135"/>
      <c r="G649" s="1135"/>
      <c r="H649" s="1135"/>
      <c r="I649" s="1135"/>
      <c r="J649" s="1135"/>
      <c r="K649" s="1135"/>
      <c r="L649" s="1135"/>
      <c r="M649" s="1135"/>
      <c r="N649" s="1135"/>
      <c r="O649" s="1135"/>
      <c r="P649" s="1135"/>
    </row>
    <row r="650" spans="3:16">
      <c r="C650" s="1135"/>
      <c r="D650" s="1135"/>
      <c r="E650" s="1135"/>
      <c r="F650" s="1135"/>
      <c r="G650" s="1135"/>
      <c r="H650" s="1135"/>
      <c r="I650" s="1135"/>
      <c r="J650" s="1135"/>
      <c r="K650" s="1135"/>
      <c r="L650" s="1135"/>
      <c r="M650" s="1135"/>
      <c r="N650" s="1135"/>
      <c r="O650" s="1135"/>
      <c r="P650" s="1135"/>
    </row>
    <row r="651" spans="3:16">
      <c r="C651" s="1135"/>
      <c r="D651" s="1135"/>
      <c r="E651" s="1135"/>
      <c r="F651" s="1135"/>
      <c r="G651" s="1135"/>
      <c r="H651" s="1135"/>
      <c r="I651" s="1135"/>
      <c r="J651" s="1135"/>
      <c r="K651" s="1135"/>
      <c r="L651" s="1135"/>
      <c r="M651" s="1135"/>
      <c r="N651" s="1135"/>
      <c r="O651" s="1135"/>
      <c r="P651" s="1135"/>
    </row>
    <row r="652" spans="3:16">
      <c r="C652" s="1135"/>
      <c r="D652" s="1135"/>
      <c r="E652" s="1135"/>
      <c r="F652" s="1135"/>
      <c r="G652" s="1135"/>
      <c r="H652" s="1135"/>
      <c r="I652" s="1135"/>
      <c r="J652" s="1135"/>
      <c r="K652" s="1135"/>
      <c r="L652" s="1135"/>
      <c r="M652" s="1135"/>
      <c r="N652" s="1135"/>
      <c r="O652" s="1135"/>
      <c r="P652" s="1135"/>
    </row>
    <row r="653" spans="3:16">
      <c r="C653" s="1135"/>
      <c r="D653" s="1135"/>
      <c r="E653" s="1135"/>
      <c r="F653" s="1135"/>
      <c r="G653" s="1135"/>
      <c r="H653" s="1135"/>
      <c r="I653" s="1135"/>
      <c r="J653" s="1135"/>
      <c r="K653" s="1135"/>
      <c r="L653" s="1135"/>
      <c r="M653" s="1135"/>
      <c r="N653" s="1135"/>
      <c r="O653" s="1135"/>
      <c r="P653" s="1135"/>
    </row>
    <row r="654" spans="3:16">
      <c r="C654" s="1135"/>
      <c r="D654" s="1135"/>
      <c r="E654" s="1135"/>
      <c r="F654" s="1135"/>
      <c r="G654" s="1135"/>
      <c r="H654" s="1135"/>
      <c r="I654" s="1135"/>
      <c r="J654" s="1135"/>
      <c r="K654" s="1135"/>
      <c r="L654" s="1135"/>
      <c r="M654" s="1135"/>
      <c r="N654" s="1135"/>
      <c r="O654" s="1135"/>
      <c r="P654" s="1135"/>
    </row>
    <row r="655" spans="3:16">
      <c r="C655" s="1135"/>
      <c r="D655" s="1135"/>
      <c r="E655" s="1135"/>
      <c r="F655" s="1135"/>
      <c r="G655" s="1135"/>
      <c r="H655" s="1135"/>
      <c r="I655" s="1135"/>
      <c r="J655" s="1135"/>
      <c r="K655" s="1135"/>
      <c r="L655" s="1135"/>
      <c r="M655" s="1135"/>
      <c r="N655" s="1135"/>
      <c r="O655" s="1135"/>
      <c r="P655" s="1135"/>
    </row>
    <row r="656" spans="3:16">
      <c r="C656" s="1135"/>
      <c r="D656" s="1135"/>
      <c r="E656" s="1135"/>
      <c r="F656" s="1135"/>
      <c r="G656" s="1135"/>
      <c r="H656" s="1135"/>
      <c r="I656" s="1135"/>
      <c r="J656" s="1135"/>
      <c r="K656" s="1135"/>
      <c r="L656" s="1135"/>
      <c r="M656" s="1135"/>
      <c r="N656" s="1135"/>
      <c r="O656" s="1135"/>
      <c r="P656" s="1135"/>
    </row>
    <row r="657" spans="3:16">
      <c r="C657" s="1135"/>
      <c r="D657" s="1135"/>
      <c r="E657" s="1135"/>
      <c r="F657" s="1135"/>
      <c r="G657" s="1135"/>
      <c r="H657" s="1135"/>
      <c r="I657" s="1135"/>
      <c r="J657" s="1135"/>
      <c r="K657" s="1135"/>
      <c r="L657" s="1135"/>
      <c r="M657" s="1135"/>
      <c r="N657" s="1135"/>
      <c r="O657" s="1135"/>
      <c r="P657" s="1135"/>
    </row>
    <row r="658" spans="3:16">
      <c r="C658" s="1135"/>
      <c r="D658" s="1135"/>
      <c r="E658" s="1135"/>
      <c r="F658" s="1135"/>
      <c r="G658" s="1135"/>
      <c r="H658" s="1135"/>
      <c r="I658" s="1135"/>
      <c r="J658" s="1135"/>
      <c r="K658" s="1135"/>
      <c r="L658" s="1135"/>
      <c r="M658" s="1135"/>
      <c r="N658" s="1135"/>
      <c r="O658" s="1135"/>
      <c r="P658" s="1135"/>
    </row>
    <row r="659" spans="3:16">
      <c r="C659" s="1135"/>
      <c r="D659" s="1135"/>
      <c r="E659" s="1135"/>
      <c r="F659" s="1135"/>
      <c r="G659" s="1135"/>
      <c r="H659" s="1135"/>
      <c r="I659" s="1135"/>
      <c r="J659" s="1135"/>
      <c r="K659" s="1135"/>
      <c r="L659" s="1135"/>
      <c r="M659" s="1135"/>
      <c r="N659" s="1135"/>
      <c r="O659" s="1135"/>
      <c r="P659" s="1135"/>
    </row>
    <row r="660" spans="3:16">
      <c r="C660" s="1135"/>
      <c r="D660" s="1135"/>
      <c r="E660" s="1135"/>
      <c r="F660" s="1135"/>
      <c r="G660" s="1135"/>
      <c r="H660" s="1135"/>
      <c r="I660" s="1135"/>
      <c r="J660" s="1135"/>
      <c r="K660" s="1135"/>
      <c r="L660" s="1135"/>
      <c r="M660" s="1135"/>
      <c r="N660" s="1135"/>
      <c r="O660" s="1135"/>
      <c r="P660" s="1135"/>
    </row>
    <row r="661" spans="3:16">
      <c r="C661" s="1135"/>
      <c r="D661" s="1135"/>
      <c r="E661" s="1135"/>
      <c r="F661" s="1135"/>
      <c r="G661" s="1135"/>
      <c r="H661" s="1135"/>
      <c r="I661" s="1135"/>
      <c r="J661" s="1135"/>
      <c r="K661" s="1135"/>
      <c r="L661" s="1135"/>
      <c r="M661" s="1135"/>
      <c r="N661" s="1135"/>
      <c r="O661" s="1135"/>
      <c r="P661" s="1135"/>
    </row>
    <row r="662" spans="3:16">
      <c r="C662" s="1135"/>
      <c r="D662" s="1135"/>
      <c r="E662" s="1135"/>
      <c r="F662" s="1135"/>
      <c r="G662" s="1135"/>
      <c r="H662" s="1135"/>
      <c r="I662" s="1135"/>
      <c r="J662" s="1135"/>
      <c r="K662" s="1135"/>
      <c r="L662" s="1135"/>
      <c r="M662" s="1135"/>
      <c r="N662" s="1135"/>
      <c r="O662" s="1135"/>
      <c r="P662" s="1135"/>
    </row>
    <row r="663" spans="3:16">
      <c r="C663" s="1135"/>
      <c r="D663" s="1135"/>
      <c r="E663" s="1135"/>
      <c r="F663" s="1135"/>
      <c r="G663" s="1135"/>
      <c r="H663" s="1135"/>
      <c r="I663" s="1135"/>
      <c r="J663" s="1135"/>
      <c r="K663" s="1135"/>
      <c r="L663" s="1135"/>
      <c r="M663" s="1135"/>
      <c r="N663" s="1135"/>
      <c r="O663" s="1135"/>
      <c r="P663" s="1135"/>
    </row>
    <row r="664" spans="3:16">
      <c r="C664" s="1135"/>
      <c r="D664" s="1135"/>
      <c r="E664" s="1135"/>
      <c r="F664" s="1135"/>
      <c r="G664" s="1135"/>
      <c r="H664" s="1135"/>
      <c r="I664" s="1135"/>
      <c r="J664" s="1135"/>
      <c r="K664" s="1135"/>
      <c r="L664" s="1135"/>
      <c r="M664" s="1135"/>
      <c r="N664" s="1135"/>
      <c r="O664" s="1135"/>
      <c r="P664" s="1135"/>
    </row>
    <row r="665" spans="3:16">
      <c r="C665" s="1135"/>
      <c r="D665" s="1135"/>
      <c r="E665" s="1135"/>
      <c r="F665" s="1135"/>
      <c r="G665" s="1135"/>
      <c r="H665" s="1135"/>
      <c r="I665" s="1135"/>
      <c r="J665" s="1135"/>
      <c r="K665" s="1135"/>
      <c r="L665" s="1135"/>
      <c r="M665" s="1135"/>
      <c r="N665" s="1135"/>
      <c r="O665" s="1135"/>
      <c r="P665" s="1135"/>
    </row>
    <row r="666" spans="3:16">
      <c r="C666" s="1135"/>
      <c r="D666" s="1135"/>
      <c r="E666" s="1135"/>
      <c r="F666" s="1135"/>
      <c r="G666" s="1135"/>
      <c r="H666" s="1135"/>
      <c r="I666" s="1135"/>
      <c r="J666" s="1135"/>
      <c r="K666" s="1135"/>
      <c r="L666" s="1135"/>
      <c r="M666" s="1135"/>
      <c r="N666" s="1135"/>
      <c r="O666" s="1135"/>
      <c r="P666" s="1135"/>
    </row>
    <row r="667" spans="3:16">
      <c r="C667" s="1135"/>
      <c r="D667" s="1135"/>
      <c r="E667" s="1135"/>
      <c r="F667" s="1135"/>
      <c r="G667" s="1135"/>
      <c r="H667" s="1135"/>
      <c r="I667" s="1135"/>
      <c r="J667" s="1135"/>
      <c r="K667" s="1135"/>
      <c r="L667" s="1135"/>
      <c r="M667" s="1135"/>
      <c r="N667" s="1135"/>
      <c r="O667" s="1135"/>
      <c r="P667" s="1135"/>
    </row>
    <row r="668" spans="3:16">
      <c r="C668" s="1135"/>
      <c r="D668" s="1135"/>
      <c r="E668" s="1135"/>
      <c r="F668" s="1135"/>
      <c r="G668" s="1135"/>
      <c r="H668" s="1135"/>
      <c r="I668" s="1135"/>
      <c r="J668" s="1135"/>
      <c r="K668" s="1135"/>
      <c r="L668" s="1135"/>
      <c r="M668" s="1135"/>
      <c r="N668" s="1135"/>
      <c r="O668" s="1135"/>
      <c r="P668" s="1135"/>
    </row>
    <row r="669" spans="3:16">
      <c r="C669" s="1135"/>
      <c r="D669" s="1135"/>
      <c r="E669" s="1135"/>
      <c r="F669" s="1135"/>
      <c r="G669" s="1135"/>
      <c r="H669" s="1135"/>
      <c r="I669" s="1135"/>
      <c r="J669" s="1135"/>
      <c r="K669" s="1135"/>
      <c r="L669" s="1135"/>
      <c r="M669" s="1135"/>
      <c r="N669" s="1135"/>
      <c r="O669" s="1135"/>
      <c r="P669" s="1135"/>
    </row>
    <row r="670" spans="3:16">
      <c r="C670" s="1135"/>
      <c r="D670" s="1135"/>
      <c r="E670" s="1135"/>
      <c r="F670" s="1135"/>
      <c r="G670" s="1135"/>
      <c r="H670" s="1135"/>
      <c r="I670" s="1135"/>
      <c r="J670" s="1135"/>
      <c r="K670" s="1135"/>
      <c r="L670" s="1135"/>
      <c r="M670" s="1135"/>
      <c r="N670" s="1135"/>
      <c r="O670" s="1135"/>
      <c r="P670" s="1135"/>
    </row>
    <row r="671" spans="3:16">
      <c r="C671" s="1135"/>
      <c r="D671" s="1135"/>
      <c r="E671" s="1135"/>
      <c r="F671" s="1135"/>
      <c r="G671" s="1135"/>
      <c r="H671" s="1135"/>
      <c r="I671" s="1135"/>
      <c r="J671" s="1135"/>
      <c r="K671" s="1135"/>
      <c r="L671" s="1135"/>
      <c r="M671" s="1135"/>
      <c r="N671" s="1135"/>
      <c r="O671" s="1135"/>
      <c r="P671" s="1135"/>
    </row>
    <row r="672" spans="3:16">
      <c r="C672" s="1135"/>
      <c r="D672" s="1135"/>
      <c r="E672" s="1135"/>
      <c r="F672" s="1135"/>
      <c r="G672" s="1135"/>
      <c r="H672" s="1135"/>
      <c r="I672" s="1135"/>
      <c r="J672" s="1135"/>
      <c r="K672" s="1135"/>
      <c r="L672" s="1135"/>
      <c r="M672" s="1135"/>
      <c r="N672" s="1135"/>
      <c r="O672" s="1135"/>
      <c r="P672" s="1135"/>
    </row>
    <row r="673" spans="3:16">
      <c r="C673" s="1135"/>
      <c r="D673" s="1135"/>
      <c r="E673" s="1135"/>
      <c r="F673" s="1135"/>
      <c r="G673" s="1135"/>
      <c r="H673" s="1135"/>
      <c r="I673" s="1135"/>
      <c r="J673" s="1135"/>
      <c r="K673" s="1135"/>
      <c r="L673" s="1135"/>
      <c r="M673" s="1135"/>
      <c r="N673" s="1135"/>
      <c r="O673" s="1135"/>
      <c r="P673" s="1135"/>
    </row>
    <row r="674" spans="3:16">
      <c r="C674" s="1135"/>
      <c r="D674" s="1135"/>
      <c r="E674" s="1135"/>
      <c r="F674" s="1135"/>
      <c r="G674" s="1135"/>
      <c r="H674" s="1135"/>
      <c r="I674" s="1135"/>
      <c r="J674" s="1135"/>
      <c r="K674" s="1135"/>
      <c r="L674" s="1135"/>
      <c r="M674" s="1135"/>
      <c r="N674" s="1135"/>
      <c r="O674" s="1135"/>
      <c r="P674" s="1135"/>
    </row>
    <row r="675" spans="3:16">
      <c r="C675" s="1135"/>
      <c r="D675" s="1135"/>
      <c r="E675" s="1135"/>
      <c r="F675" s="1135"/>
      <c r="G675" s="1135"/>
      <c r="H675" s="1135"/>
      <c r="I675" s="1135"/>
      <c r="J675" s="1135"/>
      <c r="K675" s="1135"/>
      <c r="L675" s="1135"/>
      <c r="M675" s="1135"/>
      <c r="N675" s="1135"/>
      <c r="O675" s="1135"/>
      <c r="P675" s="1135"/>
    </row>
    <row r="676" spans="3:16">
      <c r="C676" s="1135"/>
      <c r="D676" s="1135"/>
      <c r="E676" s="1135"/>
      <c r="F676" s="1135"/>
      <c r="G676" s="1135"/>
      <c r="H676" s="1135"/>
      <c r="I676" s="1135"/>
      <c r="J676" s="1135"/>
      <c r="K676" s="1135"/>
      <c r="L676" s="1135"/>
      <c r="M676" s="1135"/>
      <c r="N676" s="1135"/>
      <c r="O676" s="1135"/>
      <c r="P676" s="1135"/>
    </row>
    <row r="677" spans="3:16">
      <c r="C677" s="1135"/>
      <c r="D677" s="1135"/>
      <c r="E677" s="1135"/>
      <c r="F677" s="1135"/>
      <c r="G677" s="1135"/>
      <c r="H677" s="1135"/>
      <c r="I677" s="1135"/>
      <c r="J677" s="1135"/>
      <c r="K677" s="1135"/>
      <c r="L677" s="1135"/>
      <c r="M677" s="1135"/>
      <c r="N677" s="1135"/>
      <c r="O677" s="1135"/>
      <c r="P677" s="1135"/>
    </row>
    <row r="678" spans="3:16">
      <c r="C678" s="1135"/>
      <c r="D678" s="1135"/>
      <c r="E678" s="1135"/>
      <c r="F678" s="1135"/>
      <c r="G678" s="1135"/>
      <c r="H678" s="1135"/>
      <c r="I678" s="1135"/>
      <c r="J678" s="1135"/>
      <c r="K678" s="1135"/>
      <c r="L678" s="1135"/>
      <c r="M678" s="1135"/>
      <c r="N678" s="1135"/>
      <c r="O678" s="1135"/>
      <c r="P678" s="1135"/>
    </row>
    <row r="679" spans="3:16">
      <c r="C679" s="1135"/>
      <c r="D679" s="1135"/>
      <c r="E679" s="1135"/>
      <c r="F679" s="1135"/>
      <c r="G679" s="1135"/>
      <c r="H679" s="1135"/>
      <c r="I679" s="1135"/>
      <c r="J679" s="1135"/>
      <c r="K679" s="1135"/>
      <c r="L679" s="1135"/>
      <c r="M679" s="1135"/>
      <c r="N679" s="1135"/>
      <c r="O679" s="1135"/>
      <c r="P679" s="1135"/>
    </row>
    <row r="680" spans="3:16">
      <c r="C680" s="1135"/>
      <c r="D680" s="1135"/>
      <c r="E680" s="1135"/>
      <c r="F680" s="1135"/>
      <c r="G680" s="1135"/>
      <c r="H680" s="1135"/>
      <c r="I680" s="1135"/>
      <c r="J680" s="1135"/>
      <c r="K680" s="1135"/>
      <c r="L680" s="1135"/>
      <c r="M680" s="1135"/>
      <c r="N680" s="1135"/>
      <c r="O680" s="1135"/>
      <c r="P680" s="1135"/>
    </row>
    <row r="681" spans="3:16">
      <c r="C681" s="1135"/>
      <c r="D681" s="1135"/>
      <c r="E681" s="1135"/>
      <c r="F681" s="1135"/>
      <c r="G681" s="1135"/>
      <c r="H681" s="1135"/>
      <c r="I681" s="1135"/>
      <c r="J681" s="1135"/>
      <c r="K681" s="1135"/>
      <c r="L681" s="1135"/>
      <c r="M681" s="1135"/>
      <c r="N681" s="1135"/>
      <c r="O681" s="1135"/>
      <c r="P681" s="1135"/>
    </row>
    <row r="682" spans="3:16">
      <c r="C682" s="1135"/>
      <c r="D682" s="1135"/>
      <c r="E682" s="1135"/>
      <c r="F682" s="1135"/>
      <c r="G682" s="1135"/>
      <c r="H682" s="1135"/>
      <c r="I682" s="1135"/>
      <c r="J682" s="1135"/>
      <c r="K682" s="1135"/>
      <c r="L682" s="1135"/>
      <c r="M682" s="1135"/>
      <c r="N682" s="1135"/>
      <c r="O682" s="1135"/>
      <c r="P682" s="1135"/>
    </row>
    <row r="683" spans="3:16">
      <c r="C683" s="1135"/>
      <c r="D683" s="1135"/>
      <c r="E683" s="1135"/>
      <c r="F683" s="1135"/>
      <c r="G683" s="1135"/>
      <c r="H683" s="1135"/>
      <c r="I683" s="1135"/>
      <c r="J683" s="1135"/>
      <c r="K683" s="1135"/>
      <c r="L683" s="1135"/>
      <c r="M683" s="1135"/>
      <c r="N683" s="1135"/>
      <c r="O683" s="1135"/>
      <c r="P683" s="1135"/>
    </row>
    <row r="684" spans="3:16">
      <c r="C684" s="1135"/>
      <c r="D684" s="1135"/>
      <c r="E684" s="1135"/>
      <c r="F684" s="1135"/>
      <c r="G684" s="1135"/>
      <c r="H684" s="1135"/>
      <c r="I684" s="1135"/>
      <c r="J684" s="1135"/>
      <c r="K684" s="1135"/>
      <c r="L684" s="1135"/>
      <c r="M684" s="1135"/>
      <c r="N684" s="1135"/>
      <c r="O684" s="1135"/>
      <c r="P684" s="1135"/>
    </row>
    <row r="685" spans="3:16">
      <c r="C685" s="1135"/>
      <c r="D685" s="1135"/>
      <c r="E685" s="1135"/>
      <c r="F685" s="1135"/>
      <c r="G685" s="1135"/>
      <c r="H685" s="1135"/>
      <c r="I685" s="1135"/>
      <c r="J685" s="1135"/>
      <c r="K685" s="1135"/>
      <c r="L685" s="1135"/>
      <c r="M685" s="1135"/>
      <c r="N685" s="1135"/>
      <c r="O685" s="1135"/>
      <c r="P685" s="1135"/>
    </row>
    <row r="686" spans="3:16">
      <c r="C686" s="1135"/>
      <c r="D686" s="1135"/>
      <c r="E686" s="1135"/>
      <c r="F686" s="1135"/>
      <c r="G686" s="1135"/>
      <c r="H686" s="1135"/>
      <c r="I686" s="1135"/>
      <c r="J686" s="1135"/>
      <c r="K686" s="1135"/>
      <c r="L686" s="1135"/>
      <c r="M686" s="1135"/>
      <c r="N686" s="1135"/>
      <c r="O686" s="1135"/>
      <c r="P686" s="1135"/>
    </row>
    <row r="687" spans="3:16">
      <c r="C687" s="1135"/>
      <c r="D687" s="1135"/>
      <c r="E687" s="1135"/>
      <c r="F687" s="1135"/>
      <c r="G687" s="1135"/>
      <c r="H687" s="1135"/>
      <c r="I687" s="1135"/>
      <c r="J687" s="1135"/>
      <c r="K687" s="1135"/>
      <c r="L687" s="1135"/>
      <c r="M687" s="1135"/>
      <c r="N687" s="1135"/>
      <c r="O687" s="1135"/>
      <c r="P687" s="1135"/>
    </row>
    <row r="688" spans="3:16">
      <c r="C688" s="1135"/>
      <c r="D688" s="1135"/>
      <c r="E688" s="1135"/>
      <c r="F688" s="1135"/>
      <c r="G688" s="1135"/>
      <c r="H688" s="1135"/>
      <c r="I688" s="1135"/>
      <c r="J688" s="1135"/>
      <c r="K688" s="1135"/>
      <c r="L688" s="1135"/>
      <c r="M688" s="1135"/>
      <c r="N688" s="1135"/>
      <c r="O688" s="1135"/>
      <c r="P688" s="1135"/>
    </row>
    <row r="689" spans="3:16">
      <c r="C689" s="1135"/>
      <c r="D689" s="1135"/>
      <c r="E689" s="1135"/>
      <c r="F689" s="1135"/>
      <c r="G689" s="1135"/>
      <c r="H689" s="1135"/>
      <c r="I689" s="1135"/>
      <c r="J689" s="1135"/>
      <c r="K689" s="1135"/>
      <c r="L689" s="1135"/>
      <c r="M689" s="1135"/>
      <c r="N689" s="1135"/>
      <c r="O689" s="1135"/>
      <c r="P689" s="1135"/>
    </row>
    <row r="690" spans="3:16">
      <c r="C690" s="1135"/>
      <c r="D690" s="1135"/>
      <c r="E690" s="1135"/>
      <c r="F690" s="1135"/>
      <c r="G690" s="1135"/>
      <c r="H690" s="1135"/>
      <c r="I690" s="1135"/>
      <c r="J690" s="1135"/>
      <c r="K690" s="1135"/>
      <c r="L690" s="1135"/>
      <c r="M690" s="1135"/>
      <c r="N690" s="1135"/>
      <c r="O690" s="1135"/>
      <c r="P690" s="1135"/>
    </row>
    <row r="691" spans="3:16">
      <c r="C691" s="1135"/>
      <c r="D691" s="1135"/>
      <c r="E691" s="1135"/>
      <c r="F691" s="1135"/>
      <c r="G691" s="1135"/>
      <c r="H691" s="1135"/>
      <c r="I691" s="1135"/>
      <c r="J691" s="1135"/>
      <c r="K691" s="1135"/>
      <c r="L691" s="1135"/>
      <c r="M691" s="1135"/>
      <c r="N691" s="1135"/>
      <c r="O691" s="1135"/>
      <c r="P691" s="1135"/>
    </row>
    <row r="692" spans="3:16">
      <c r="C692" s="1135"/>
      <c r="D692" s="1135"/>
      <c r="E692" s="1135"/>
      <c r="F692" s="1135"/>
      <c r="G692" s="1135"/>
      <c r="H692" s="1135"/>
      <c r="I692" s="1135"/>
      <c r="J692" s="1135"/>
      <c r="K692" s="1135"/>
      <c r="L692" s="1135"/>
      <c r="M692" s="1135"/>
      <c r="N692" s="1135"/>
      <c r="O692" s="1135"/>
      <c r="P692" s="1135"/>
    </row>
    <row r="693" spans="3:16">
      <c r="C693" s="1135"/>
      <c r="D693" s="1135"/>
      <c r="E693" s="1135"/>
      <c r="F693" s="1135"/>
      <c r="G693" s="1135"/>
      <c r="H693" s="1135"/>
      <c r="I693" s="1135"/>
      <c r="J693" s="1135"/>
      <c r="K693" s="1135"/>
      <c r="L693" s="1135"/>
      <c r="M693" s="1135"/>
      <c r="N693" s="1135"/>
      <c r="O693" s="1135"/>
      <c r="P693" s="1135"/>
    </row>
    <row r="694" spans="3:16">
      <c r="C694" s="1135"/>
      <c r="D694" s="1135"/>
      <c r="E694" s="1135"/>
      <c r="F694" s="1135"/>
      <c r="G694" s="1135"/>
      <c r="H694" s="1135"/>
      <c r="I694" s="1135"/>
      <c r="J694" s="1135"/>
      <c r="K694" s="1135"/>
      <c r="L694" s="1135"/>
      <c r="M694" s="1135"/>
      <c r="N694" s="1135"/>
      <c r="O694" s="1135"/>
      <c r="P694" s="1135"/>
    </row>
    <row r="695" spans="3:16">
      <c r="C695" s="1135"/>
      <c r="D695" s="1135"/>
      <c r="E695" s="1135"/>
      <c r="F695" s="1135"/>
      <c r="G695" s="1135"/>
      <c r="H695" s="1135"/>
      <c r="I695" s="1135"/>
      <c r="J695" s="1135"/>
      <c r="K695" s="1135"/>
      <c r="L695" s="1135"/>
      <c r="M695" s="1135"/>
      <c r="N695" s="1135"/>
      <c r="O695" s="1135"/>
      <c r="P695" s="1135"/>
    </row>
    <row r="696" spans="3:16">
      <c r="C696" s="1135"/>
      <c r="D696" s="1135"/>
      <c r="E696" s="1135"/>
      <c r="F696" s="1135"/>
      <c r="G696" s="1135"/>
      <c r="H696" s="1135"/>
      <c r="I696" s="1135"/>
      <c r="J696" s="1135"/>
      <c r="K696" s="1135"/>
      <c r="L696" s="1135"/>
      <c r="M696" s="1135"/>
      <c r="N696" s="1135"/>
      <c r="O696" s="1135"/>
      <c r="P696" s="1135"/>
    </row>
    <row r="697" spans="3:16">
      <c r="C697" s="1135"/>
      <c r="D697" s="1135"/>
      <c r="E697" s="1135"/>
      <c r="F697" s="1135"/>
      <c r="G697" s="1135"/>
      <c r="H697" s="1135"/>
      <c r="I697" s="1135"/>
      <c r="J697" s="1135"/>
      <c r="K697" s="1135"/>
      <c r="L697" s="1135"/>
      <c r="M697" s="1135"/>
      <c r="N697" s="1135"/>
      <c r="O697" s="1135"/>
      <c r="P697" s="1135"/>
    </row>
    <row r="698" spans="3:16">
      <c r="C698" s="1135"/>
      <c r="D698" s="1135"/>
      <c r="E698" s="1135"/>
      <c r="F698" s="1135"/>
      <c r="G698" s="1135"/>
      <c r="H698" s="1135"/>
      <c r="I698" s="1135"/>
      <c r="J698" s="1135"/>
      <c r="K698" s="1135"/>
      <c r="L698" s="1135"/>
      <c r="M698" s="1135"/>
      <c r="N698" s="1135"/>
      <c r="O698" s="1135"/>
      <c r="P698" s="1135"/>
    </row>
    <row r="699" spans="3:16">
      <c r="C699" s="1135"/>
      <c r="D699" s="1135"/>
      <c r="E699" s="1135"/>
      <c r="F699" s="1135"/>
      <c r="G699" s="1135"/>
      <c r="H699" s="1135"/>
      <c r="I699" s="1135"/>
      <c r="J699" s="1135"/>
      <c r="K699" s="1135"/>
      <c r="L699" s="1135"/>
      <c r="M699" s="1135"/>
      <c r="N699" s="1135"/>
      <c r="O699" s="1135"/>
      <c r="P699" s="1135"/>
    </row>
    <row r="700" spans="3:16">
      <c r="C700" s="1135"/>
      <c r="D700" s="1135"/>
      <c r="E700" s="1135"/>
      <c r="F700" s="1135"/>
      <c r="G700" s="1135"/>
      <c r="H700" s="1135"/>
      <c r="I700" s="1135"/>
      <c r="J700" s="1135"/>
      <c r="K700" s="1135"/>
      <c r="L700" s="1135"/>
      <c r="M700" s="1135"/>
      <c r="N700" s="1135"/>
      <c r="O700" s="1135"/>
      <c r="P700" s="1135"/>
    </row>
    <row r="701" spans="3:16">
      <c r="C701" s="1135"/>
      <c r="D701" s="1135"/>
      <c r="E701" s="1135"/>
      <c r="F701" s="1135"/>
      <c r="G701" s="1135"/>
      <c r="H701" s="1135"/>
      <c r="I701" s="1135"/>
      <c r="J701" s="1135"/>
      <c r="K701" s="1135"/>
      <c r="L701" s="1135"/>
      <c r="M701" s="1135"/>
      <c r="N701" s="1135"/>
      <c r="O701" s="1135"/>
      <c r="P701" s="1135"/>
    </row>
    <row r="702" spans="3:16">
      <c r="C702" s="1135"/>
      <c r="D702" s="1135"/>
      <c r="E702" s="1135"/>
      <c r="F702" s="1135"/>
      <c r="G702" s="1135"/>
      <c r="H702" s="1135"/>
      <c r="I702" s="1135"/>
      <c r="J702" s="1135"/>
      <c r="K702" s="1135"/>
      <c r="L702" s="1135"/>
      <c r="M702" s="1135"/>
      <c r="N702" s="1135"/>
      <c r="O702" s="1135"/>
      <c r="P702" s="1135"/>
    </row>
    <row r="703" spans="3:16">
      <c r="C703" s="1135"/>
      <c r="D703" s="1135"/>
      <c r="E703" s="1135"/>
      <c r="F703" s="1135"/>
      <c r="G703" s="1135"/>
      <c r="H703" s="1135"/>
      <c r="I703" s="1135"/>
      <c r="J703" s="1135"/>
      <c r="K703" s="1135"/>
      <c r="L703" s="1135"/>
      <c r="M703" s="1135"/>
      <c r="N703" s="1135"/>
      <c r="O703" s="1135"/>
      <c r="P703" s="1135"/>
    </row>
    <row r="704" spans="3:16">
      <c r="C704" s="1135"/>
      <c r="D704" s="1135"/>
      <c r="E704" s="1135"/>
      <c r="F704" s="1135"/>
      <c r="G704" s="1135"/>
      <c r="H704" s="1135"/>
      <c r="I704" s="1135"/>
      <c r="J704" s="1135"/>
      <c r="K704" s="1135"/>
      <c r="L704" s="1135"/>
      <c r="M704" s="1135"/>
      <c r="N704" s="1135"/>
      <c r="O704" s="1135"/>
      <c r="P704" s="1135"/>
    </row>
    <row r="705" spans="3:16">
      <c r="C705" s="1135"/>
      <c r="D705" s="1135"/>
      <c r="E705" s="1135"/>
      <c r="F705" s="1135"/>
      <c r="G705" s="1135"/>
      <c r="H705" s="1135"/>
      <c r="I705" s="1135"/>
      <c r="J705" s="1135"/>
      <c r="K705" s="1135"/>
      <c r="L705" s="1135"/>
      <c r="M705" s="1135"/>
      <c r="N705" s="1135"/>
      <c r="O705" s="1135"/>
      <c r="P705" s="1135"/>
    </row>
    <row r="706" spans="3:16">
      <c r="C706" s="1135"/>
      <c r="D706" s="1135"/>
      <c r="E706" s="1135"/>
      <c r="F706" s="1135"/>
      <c r="G706" s="1135"/>
      <c r="H706" s="1135"/>
      <c r="I706" s="1135"/>
      <c r="J706" s="1135"/>
      <c r="K706" s="1135"/>
      <c r="L706" s="1135"/>
      <c r="M706" s="1135"/>
      <c r="N706" s="1135"/>
      <c r="O706" s="1135"/>
      <c r="P706" s="1135"/>
    </row>
    <row r="707" spans="3:16">
      <c r="C707" s="1135"/>
      <c r="D707" s="1135"/>
      <c r="E707" s="1135"/>
      <c r="F707" s="1135"/>
      <c r="G707" s="1135"/>
      <c r="H707" s="1135"/>
      <c r="I707" s="1135"/>
      <c r="J707" s="1135"/>
      <c r="K707" s="1135"/>
      <c r="L707" s="1135"/>
      <c r="M707" s="1135"/>
      <c r="N707" s="1135"/>
      <c r="O707" s="1135"/>
      <c r="P707" s="1135"/>
    </row>
    <row r="708" spans="3:16">
      <c r="C708" s="1135"/>
      <c r="D708" s="1135"/>
      <c r="E708" s="1135"/>
      <c r="F708" s="1135"/>
      <c r="G708" s="1135"/>
      <c r="H708" s="1135"/>
      <c r="I708" s="1135"/>
      <c r="J708" s="1135"/>
      <c r="K708" s="1135"/>
      <c r="L708" s="1135"/>
      <c r="M708" s="1135"/>
      <c r="N708" s="1135"/>
      <c r="O708" s="1135"/>
      <c r="P708" s="1135"/>
    </row>
    <row r="709" spans="3:16">
      <c r="C709" s="1135"/>
      <c r="D709" s="1135"/>
      <c r="E709" s="1135"/>
      <c r="F709" s="1135"/>
      <c r="G709" s="1135"/>
      <c r="H709" s="1135"/>
      <c r="I709" s="1135"/>
      <c r="J709" s="1135"/>
      <c r="K709" s="1135"/>
      <c r="L709" s="1135"/>
      <c r="M709" s="1135"/>
      <c r="N709" s="1135"/>
      <c r="O709" s="1135"/>
      <c r="P709" s="1135"/>
    </row>
    <row r="710" spans="3:16">
      <c r="C710" s="1135"/>
      <c r="D710" s="1135"/>
      <c r="E710" s="1135"/>
      <c r="F710" s="1135"/>
      <c r="G710" s="1135"/>
      <c r="H710" s="1135"/>
      <c r="I710" s="1135"/>
      <c r="J710" s="1135"/>
      <c r="K710" s="1135"/>
      <c r="L710" s="1135"/>
      <c r="M710" s="1135"/>
      <c r="N710" s="1135"/>
      <c r="O710" s="1135"/>
      <c r="P710" s="1135"/>
    </row>
    <row r="711" spans="3:16">
      <c r="C711" s="1135"/>
      <c r="D711" s="1135"/>
      <c r="E711" s="1135"/>
      <c r="F711" s="1135"/>
      <c r="G711" s="1135"/>
      <c r="H711" s="1135"/>
      <c r="I711" s="1135"/>
      <c r="J711" s="1135"/>
      <c r="K711" s="1135"/>
      <c r="L711" s="1135"/>
      <c r="M711" s="1135"/>
      <c r="N711" s="1135"/>
      <c r="O711" s="1135"/>
      <c r="P711" s="1135"/>
    </row>
    <row r="712" spans="3:16">
      <c r="C712" s="1135"/>
      <c r="D712" s="1135"/>
      <c r="E712" s="1135"/>
      <c r="F712" s="1135"/>
      <c r="G712" s="1135"/>
      <c r="H712" s="1135"/>
      <c r="I712" s="1135"/>
      <c r="J712" s="1135"/>
      <c r="K712" s="1135"/>
      <c r="L712" s="1135"/>
      <c r="M712" s="1135"/>
      <c r="N712" s="1135"/>
      <c r="O712" s="1135"/>
      <c r="P712" s="1135"/>
    </row>
    <row r="713" spans="3:16">
      <c r="C713" s="1135"/>
      <c r="D713" s="1135"/>
      <c r="E713" s="1135"/>
      <c r="F713" s="1135"/>
      <c r="G713" s="1135"/>
      <c r="H713" s="1135"/>
      <c r="I713" s="1135"/>
      <c r="J713" s="1135"/>
      <c r="K713" s="1135"/>
      <c r="L713" s="1135"/>
      <c r="M713" s="1135"/>
      <c r="N713" s="1135"/>
      <c r="O713" s="1135"/>
      <c r="P713" s="1135"/>
    </row>
    <row r="714" spans="3:16">
      <c r="C714" s="1135"/>
      <c r="D714" s="1135"/>
      <c r="E714" s="1135"/>
      <c r="F714" s="1135"/>
      <c r="G714" s="1135"/>
      <c r="H714" s="1135"/>
      <c r="I714" s="1135"/>
      <c r="J714" s="1135"/>
      <c r="K714" s="1135"/>
      <c r="L714" s="1135"/>
      <c r="M714" s="1135"/>
      <c r="N714" s="1135"/>
      <c r="O714" s="1135"/>
      <c r="P714" s="1135"/>
    </row>
    <row r="715" spans="3:16">
      <c r="C715" s="1135"/>
      <c r="D715" s="1135"/>
      <c r="E715" s="1135"/>
      <c r="F715" s="1135"/>
      <c r="G715" s="1135"/>
      <c r="H715" s="1135"/>
      <c r="I715" s="1135"/>
      <c r="J715" s="1135"/>
      <c r="K715" s="1135"/>
      <c r="L715" s="1135"/>
      <c r="M715" s="1135"/>
      <c r="N715" s="1135"/>
      <c r="O715" s="1135"/>
      <c r="P715" s="1135"/>
    </row>
    <row r="716" spans="3:16">
      <c r="C716" s="1135"/>
      <c r="D716" s="1135"/>
      <c r="E716" s="1135"/>
      <c r="F716" s="1135"/>
      <c r="G716" s="1135"/>
      <c r="H716" s="1135"/>
      <c r="I716" s="1135"/>
      <c r="J716" s="1135"/>
      <c r="K716" s="1135"/>
      <c r="L716" s="1135"/>
      <c r="M716" s="1135"/>
      <c r="N716" s="1135"/>
      <c r="O716" s="1135"/>
      <c r="P716" s="1135"/>
    </row>
    <row r="717" spans="3:16">
      <c r="C717" s="1135"/>
      <c r="D717" s="1135"/>
      <c r="E717" s="1135"/>
      <c r="F717" s="1135"/>
      <c r="G717" s="1135"/>
      <c r="H717" s="1135"/>
      <c r="I717" s="1135"/>
      <c r="J717" s="1135"/>
      <c r="K717" s="1135"/>
      <c r="L717" s="1135"/>
      <c r="M717" s="1135"/>
      <c r="N717" s="1135"/>
      <c r="O717" s="1135"/>
      <c r="P717" s="1135"/>
    </row>
    <row r="718" spans="3:16">
      <c r="C718" s="1135"/>
      <c r="D718" s="1135"/>
      <c r="E718" s="1135"/>
      <c r="F718" s="1135"/>
      <c r="G718" s="1135"/>
      <c r="H718" s="1135"/>
      <c r="I718" s="1135"/>
      <c r="J718" s="1135"/>
      <c r="K718" s="1135"/>
      <c r="L718" s="1135"/>
      <c r="M718" s="1135"/>
      <c r="N718" s="1135"/>
      <c r="O718" s="1135"/>
      <c r="P718" s="1135"/>
    </row>
    <row r="719" spans="3:16">
      <c r="C719" s="1135"/>
      <c r="D719" s="1135"/>
      <c r="E719" s="1135"/>
      <c r="F719" s="1135"/>
      <c r="G719" s="1135"/>
      <c r="H719" s="1135"/>
      <c r="I719" s="1135"/>
      <c r="J719" s="1135"/>
      <c r="K719" s="1135"/>
      <c r="L719" s="1135"/>
      <c r="M719" s="1135"/>
      <c r="N719" s="1135"/>
      <c r="O719" s="1135"/>
      <c r="P719" s="1135"/>
    </row>
    <row r="720" spans="3:16">
      <c r="C720" s="1135"/>
      <c r="D720" s="1135"/>
      <c r="E720" s="1135"/>
      <c r="F720" s="1135"/>
      <c r="G720" s="1135"/>
      <c r="H720" s="1135"/>
      <c r="I720" s="1135"/>
      <c r="J720" s="1135"/>
      <c r="K720" s="1135"/>
      <c r="L720" s="1135"/>
      <c r="M720" s="1135"/>
      <c r="N720" s="1135"/>
      <c r="O720" s="1135"/>
      <c r="P720" s="1135"/>
    </row>
    <row r="721" spans="3:16">
      <c r="C721" s="1135"/>
      <c r="D721" s="1135"/>
      <c r="E721" s="1135"/>
      <c r="F721" s="1135"/>
      <c r="G721" s="1135"/>
      <c r="H721" s="1135"/>
      <c r="I721" s="1135"/>
      <c r="J721" s="1135"/>
      <c r="K721" s="1135"/>
      <c r="L721" s="1135"/>
      <c r="M721" s="1135"/>
      <c r="N721" s="1135"/>
      <c r="O721" s="1135"/>
      <c r="P721" s="1135"/>
    </row>
    <row r="722" spans="3:16">
      <c r="C722" s="1135"/>
      <c r="D722" s="1135"/>
      <c r="E722" s="1135"/>
      <c r="F722" s="1135"/>
      <c r="G722" s="1135"/>
      <c r="H722" s="1135"/>
      <c r="I722" s="1135"/>
      <c r="J722" s="1135"/>
      <c r="K722" s="1135"/>
      <c r="L722" s="1135"/>
      <c r="M722" s="1135"/>
      <c r="N722" s="1135"/>
      <c r="O722" s="1135"/>
      <c r="P722" s="1135"/>
    </row>
    <row r="723" spans="3:16">
      <c r="C723" s="1135"/>
      <c r="D723" s="1135"/>
      <c r="E723" s="1135"/>
      <c r="F723" s="1135"/>
      <c r="G723" s="1135"/>
      <c r="H723" s="1135"/>
      <c r="I723" s="1135"/>
      <c r="J723" s="1135"/>
      <c r="K723" s="1135"/>
      <c r="L723" s="1135"/>
      <c r="M723" s="1135"/>
      <c r="N723" s="1135"/>
      <c r="O723" s="1135"/>
      <c r="P723" s="1135"/>
    </row>
    <row r="724" spans="3:16">
      <c r="C724" s="1135"/>
      <c r="D724" s="1135"/>
      <c r="E724" s="1135"/>
      <c r="F724" s="1135"/>
      <c r="G724" s="1135"/>
      <c r="H724" s="1135"/>
      <c r="I724" s="1135"/>
      <c r="J724" s="1135"/>
      <c r="K724" s="1135"/>
      <c r="L724" s="1135"/>
      <c r="M724" s="1135"/>
      <c r="N724" s="1135"/>
      <c r="O724" s="1135"/>
      <c r="P724" s="1135"/>
    </row>
    <row r="725" spans="3:16">
      <c r="C725" s="1135"/>
      <c r="D725" s="1135"/>
      <c r="E725" s="1135"/>
      <c r="F725" s="1135"/>
      <c r="G725" s="1135"/>
      <c r="H725" s="1135"/>
      <c r="I725" s="1135"/>
      <c r="J725" s="1135"/>
      <c r="K725" s="1135"/>
      <c r="L725" s="1135"/>
      <c r="M725" s="1135"/>
      <c r="N725" s="1135"/>
      <c r="O725" s="1135"/>
      <c r="P725" s="1135"/>
    </row>
    <row r="726" spans="3:16">
      <c r="C726" s="1135"/>
      <c r="D726" s="1135"/>
      <c r="E726" s="1135"/>
      <c r="F726" s="1135"/>
      <c r="G726" s="1135"/>
      <c r="H726" s="1135"/>
      <c r="I726" s="1135"/>
      <c r="J726" s="1135"/>
      <c r="K726" s="1135"/>
      <c r="L726" s="1135"/>
      <c r="M726" s="1135"/>
      <c r="N726" s="1135"/>
      <c r="O726" s="1135"/>
      <c r="P726" s="1135"/>
    </row>
    <row r="727" spans="3:16">
      <c r="C727" s="1135"/>
      <c r="D727" s="1135"/>
      <c r="E727" s="1135"/>
      <c r="F727" s="1135"/>
      <c r="G727" s="1135"/>
      <c r="H727" s="1135"/>
      <c r="I727" s="1135"/>
      <c r="J727" s="1135"/>
      <c r="K727" s="1135"/>
      <c r="L727" s="1135"/>
      <c r="M727" s="1135"/>
      <c r="N727" s="1135"/>
      <c r="O727" s="1135"/>
      <c r="P727" s="1135"/>
    </row>
    <row r="728" spans="3:16">
      <c r="C728" s="1135"/>
      <c r="D728" s="1135"/>
      <c r="E728" s="1135"/>
      <c r="F728" s="1135"/>
      <c r="G728" s="1135"/>
      <c r="H728" s="1135"/>
      <c r="I728" s="1135"/>
      <c r="J728" s="1135"/>
      <c r="K728" s="1135"/>
      <c r="L728" s="1135"/>
      <c r="M728" s="1135"/>
      <c r="N728" s="1135"/>
      <c r="O728" s="1135"/>
      <c r="P728" s="1135"/>
    </row>
    <row r="729" spans="3:16">
      <c r="C729" s="1135"/>
      <c r="D729" s="1135"/>
      <c r="E729" s="1135"/>
      <c r="F729" s="1135"/>
      <c r="G729" s="1135"/>
      <c r="H729" s="1135"/>
      <c r="I729" s="1135"/>
      <c r="J729" s="1135"/>
      <c r="K729" s="1135"/>
      <c r="L729" s="1135"/>
      <c r="M729" s="1135"/>
      <c r="N729" s="1135"/>
      <c r="O729" s="1135"/>
      <c r="P729" s="1135"/>
    </row>
    <row r="730" spans="3:16">
      <c r="C730" s="1135"/>
      <c r="D730" s="1135"/>
      <c r="E730" s="1135"/>
      <c r="F730" s="1135"/>
      <c r="G730" s="1135"/>
      <c r="H730" s="1135"/>
      <c r="I730" s="1135"/>
      <c r="J730" s="1135"/>
      <c r="K730" s="1135"/>
      <c r="L730" s="1135"/>
      <c r="M730" s="1135"/>
      <c r="N730" s="1135"/>
      <c r="O730" s="1135"/>
      <c r="P730" s="1135"/>
    </row>
    <row r="731" spans="3:16">
      <c r="C731" s="1135"/>
      <c r="D731" s="1135"/>
      <c r="E731" s="1135"/>
      <c r="F731" s="1135"/>
      <c r="G731" s="1135"/>
      <c r="H731" s="1135"/>
      <c r="I731" s="1135"/>
      <c r="J731" s="1135"/>
      <c r="K731" s="1135"/>
      <c r="L731" s="1135"/>
      <c r="M731" s="1135"/>
      <c r="N731" s="1135"/>
      <c r="O731" s="1135"/>
      <c r="P731" s="1135"/>
    </row>
    <row r="732" spans="3:16">
      <c r="C732" s="1135"/>
      <c r="D732" s="1135"/>
      <c r="E732" s="1135"/>
      <c r="F732" s="1135"/>
      <c r="G732" s="1135"/>
      <c r="H732" s="1135"/>
      <c r="I732" s="1135"/>
      <c r="J732" s="1135"/>
      <c r="K732" s="1135"/>
      <c r="L732" s="1135"/>
      <c r="M732" s="1135"/>
      <c r="N732" s="1135"/>
      <c r="O732" s="1135"/>
      <c r="P732" s="1135"/>
    </row>
    <row r="733" spans="3:16">
      <c r="C733" s="1135"/>
      <c r="D733" s="1135"/>
      <c r="E733" s="1135"/>
      <c r="F733" s="1135"/>
      <c r="G733" s="1135"/>
      <c r="H733" s="1135"/>
      <c r="I733" s="1135"/>
      <c r="J733" s="1135"/>
      <c r="K733" s="1135"/>
      <c r="L733" s="1135"/>
      <c r="M733" s="1135"/>
      <c r="N733" s="1135"/>
      <c r="O733" s="1135"/>
      <c r="P733" s="1135"/>
    </row>
    <row r="734" spans="3:16">
      <c r="C734" s="1135"/>
      <c r="D734" s="1135"/>
      <c r="E734" s="1135"/>
      <c r="F734" s="1135"/>
      <c r="G734" s="1135"/>
      <c r="H734" s="1135"/>
      <c r="I734" s="1135"/>
      <c r="J734" s="1135"/>
      <c r="K734" s="1135"/>
      <c r="L734" s="1135"/>
      <c r="M734" s="1135"/>
      <c r="N734" s="1135"/>
      <c r="O734" s="1135"/>
      <c r="P734" s="1135"/>
    </row>
    <row r="735" spans="3:16">
      <c r="C735" s="1135"/>
      <c r="D735" s="1135"/>
      <c r="E735" s="1135"/>
      <c r="F735" s="1135"/>
      <c r="G735" s="1135"/>
      <c r="H735" s="1135"/>
      <c r="I735" s="1135"/>
      <c r="J735" s="1135"/>
      <c r="K735" s="1135"/>
      <c r="L735" s="1135"/>
      <c r="M735" s="1135"/>
      <c r="N735" s="1135"/>
      <c r="O735" s="1135"/>
      <c r="P735" s="1135"/>
    </row>
    <row r="736" spans="3:16">
      <c r="C736" s="1135"/>
      <c r="D736" s="1135"/>
      <c r="E736" s="1135"/>
      <c r="F736" s="1135"/>
      <c r="G736" s="1135"/>
      <c r="H736" s="1135"/>
      <c r="I736" s="1135"/>
      <c r="J736" s="1135"/>
      <c r="K736" s="1135"/>
      <c r="L736" s="1135"/>
      <c r="M736" s="1135"/>
      <c r="N736" s="1135"/>
      <c r="O736" s="1135"/>
      <c r="P736" s="1135"/>
    </row>
    <row r="737" spans="3:16">
      <c r="C737" s="1135"/>
      <c r="D737" s="1135"/>
      <c r="E737" s="1135"/>
      <c r="F737" s="1135"/>
      <c r="G737" s="1135"/>
      <c r="H737" s="1135"/>
      <c r="I737" s="1135"/>
      <c r="J737" s="1135"/>
      <c r="K737" s="1135"/>
      <c r="L737" s="1135"/>
      <c r="M737" s="1135"/>
      <c r="N737" s="1135"/>
      <c r="O737" s="1135"/>
      <c r="P737" s="1135"/>
    </row>
    <row r="738" spans="3:16">
      <c r="C738" s="1135"/>
      <c r="D738" s="1135"/>
      <c r="E738" s="1135"/>
      <c r="F738" s="1135"/>
      <c r="G738" s="1135"/>
      <c r="H738" s="1135"/>
      <c r="I738" s="1135"/>
      <c r="J738" s="1135"/>
      <c r="K738" s="1135"/>
      <c r="L738" s="1135"/>
      <c r="M738" s="1135"/>
      <c r="N738" s="1135"/>
      <c r="O738" s="1135"/>
      <c r="P738" s="1135"/>
    </row>
    <row r="739" spans="3:16">
      <c r="C739" s="1135"/>
      <c r="D739" s="1135"/>
      <c r="E739" s="1135"/>
      <c r="F739" s="1135"/>
      <c r="G739" s="1135"/>
      <c r="H739" s="1135"/>
      <c r="I739" s="1135"/>
      <c r="J739" s="1135"/>
      <c r="K739" s="1135"/>
      <c r="L739" s="1135"/>
      <c r="M739" s="1135"/>
      <c r="N739" s="1135"/>
      <c r="O739" s="1135"/>
      <c r="P739" s="1135"/>
    </row>
    <row r="740" spans="3:16">
      <c r="C740" s="1135"/>
      <c r="D740" s="1135"/>
      <c r="E740" s="1135"/>
      <c r="F740" s="1135"/>
      <c r="G740" s="1135"/>
      <c r="H740" s="1135"/>
      <c r="I740" s="1135"/>
      <c r="J740" s="1135"/>
      <c r="K740" s="1135"/>
      <c r="L740" s="1135"/>
      <c r="M740" s="1135"/>
      <c r="N740" s="1135"/>
      <c r="O740" s="1135"/>
      <c r="P740" s="1135"/>
    </row>
    <row r="741" spans="3:16">
      <c r="C741" s="1135"/>
      <c r="D741" s="1135"/>
      <c r="E741" s="1135"/>
      <c r="F741" s="1135"/>
      <c r="G741" s="1135"/>
      <c r="H741" s="1135"/>
      <c r="I741" s="1135"/>
      <c r="J741" s="1135"/>
      <c r="K741" s="1135"/>
      <c r="L741" s="1135"/>
      <c r="M741" s="1135"/>
      <c r="N741" s="1135"/>
      <c r="O741" s="1135"/>
      <c r="P741" s="1135"/>
    </row>
    <row r="742" spans="3:16">
      <c r="C742" s="1135"/>
      <c r="D742" s="1135"/>
      <c r="E742" s="1135"/>
      <c r="F742" s="1135"/>
      <c r="G742" s="1135"/>
      <c r="H742" s="1135"/>
      <c r="I742" s="1135"/>
      <c r="J742" s="1135"/>
      <c r="K742" s="1135"/>
      <c r="L742" s="1135"/>
      <c r="M742" s="1135"/>
      <c r="N742" s="1135"/>
      <c r="O742" s="1135"/>
      <c r="P742" s="1135"/>
    </row>
    <row r="743" spans="3:16">
      <c r="C743" s="1135"/>
      <c r="D743" s="1135"/>
      <c r="E743" s="1135"/>
      <c r="F743" s="1135"/>
      <c r="G743" s="1135"/>
      <c r="H743" s="1135"/>
      <c r="I743" s="1135"/>
      <c r="J743" s="1135"/>
      <c r="K743" s="1135"/>
      <c r="L743" s="1135"/>
      <c r="M743" s="1135"/>
      <c r="N743" s="1135"/>
      <c r="O743" s="1135"/>
      <c r="P743" s="1135"/>
    </row>
    <row r="744" spans="3:16">
      <c r="C744" s="1135"/>
      <c r="D744" s="1135"/>
      <c r="E744" s="1135"/>
      <c r="F744" s="1135"/>
      <c r="G744" s="1135"/>
      <c r="H744" s="1135"/>
      <c r="I744" s="1135"/>
      <c r="J744" s="1135"/>
      <c r="K744" s="1135"/>
      <c r="L744" s="1135"/>
      <c r="M744" s="1135"/>
      <c r="N744" s="1135"/>
      <c r="O744" s="1135"/>
      <c r="P744" s="1135"/>
    </row>
    <row r="745" spans="3:16">
      <c r="C745" s="1135"/>
      <c r="D745" s="1135"/>
      <c r="E745" s="1135"/>
      <c r="F745" s="1135"/>
      <c r="G745" s="1135"/>
      <c r="H745" s="1135"/>
      <c r="I745" s="1135"/>
      <c r="J745" s="1135"/>
      <c r="K745" s="1135"/>
      <c r="L745" s="1135"/>
      <c r="M745" s="1135"/>
      <c r="N745" s="1135"/>
      <c r="O745" s="1135"/>
      <c r="P745" s="1135"/>
    </row>
    <row r="746" spans="3:16">
      <c r="C746" s="1135"/>
      <c r="D746" s="1135"/>
      <c r="E746" s="1135"/>
      <c r="F746" s="1135"/>
      <c r="G746" s="1135"/>
      <c r="H746" s="1135"/>
      <c r="I746" s="1135"/>
      <c r="J746" s="1135"/>
      <c r="K746" s="1135"/>
      <c r="L746" s="1135"/>
      <c r="M746" s="1135"/>
      <c r="N746" s="1135"/>
      <c r="O746" s="1135"/>
      <c r="P746" s="1135"/>
    </row>
    <row r="747" spans="3:16">
      <c r="C747" s="1135"/>
      <c r="D747" s="1135"/>
      <c r="E747" s="1135"/>
      <c r="F747" s="1135"/>
      <c r="G747" s="1135"/>
      <c r="H747" s="1135"/>
      <c r="I747" s="1135"/>
      <c r="J747" s="1135"/>
      <c r="K747" s="1135"/>
      <c r="L747" s="1135"/>
      <c r="M747" s="1135"/>
      <c r="N747" s="1135"/>
      <c r="O747" s="1135"/>
      <c r="P747" s="1135"/>
    </row>
    <row r="748" spans="3:16">
      <c r="C748" s="1135"/>
      <c r="D748" s="1135"/>
      <c r="E748" s="1135"/>
      <c r="F748" s="1135"/>
      <c r="G748" s="1135"/>
      <c r="H748" s="1135"/>
      <c r="I748" s="1135"/>
      <c r="J748" s="1135"/>
      <c r="K748" s="1135"/>
      <c r="L748" s="1135"/>
      <c r="M748" s="1135"/>
      <c r="N748" s="1135"/>
      <c r="O748" s="1135"/>
      <c r="P748" s="1135"/>
    </row>
    <row r="749" spans="3:16">
      <c r="C749" s="1135"/>
      <c r="D749" s="1135"/>
      <c r="E749" s="1135"/>
      <c r="F749" s="1135"/>
      <c r="G749" s="1135"/>
      <c r="H749" s="1135"/>
      <c r="I749" s="1135"/>
      <c r="J749" s="1135"/>
      <c r="K749" s="1135"/>
      <c r="L749" s="1135"/>
      <c r="M749" s="1135"/>
      <c r="N749" s="1135"/>
      <c r="O749" s="1135"/>
      <c r="P749" s="1135"/>
    </row>
    <row r="750" spans="3:16">
      <c r="C750" s="1135"/>
      <c r="D750" s="1135"/>
      <c r="E750" s="1135"/>
      <c r="F750" s="1135"/>
      <c r="G750" s="1135"/>
      <c r="H750" s="1135"/>
      <c r="I750" s="1135"/>
      <c r="J750" s="1135"/>
      <c r="K750" s="1135"/>
      <c r="L750" s="1135"/>
      <c r="M750" s="1135"/>
      <c r="N750" s="1135"/>
      <c r="O750" s="1135"/>
      <c r="P750" s="1135"/>
    </row>
    <row r="751" spans="3:16">
      <c r="C751" s="1135"/>
      <c r="D751" s="1135"/>
      <c r="E751" s="1135"/>
      <c r="F751" s="1135"/>
      <c r="G751" s="1135"/>
      <c r="H751" s="1135"/>
      <c r="I751" s="1135"/>
      <c r="J751" s="1135"/>
      <c r="K751" s="1135"/>
      <c r="L751" s="1135"/>
      <c r="M751" s="1135"/>
      <c r="N751" s="1135"/>
      <c r="O751" s="1135"/>
      <c r="P751" s="1135"/>
    </row>
    <row r="752" spans="3:16">
      <c r="C752" s="1135"/>
      <c r="D752" s="1135"/>
      <c r="E752" s="1135"/>
      <c r="F752" s="1135"/>
      <c r="G752" s="1135"/>
      <c r="H752" s="1135"/>
      <c r="I752" s="1135"/>
      <c r="J752" s="1135"/>
      <c r="K752" s="1135"/>
      <c r="L752" s="1135"/>
      <c r="M752" s="1135"/>
      <c r="N752" s="1135"/>
      <c r="O752" s="1135"/>
      <c r="P752" s="1135"/>
    </row>
    <row r="753" spans="3:16">
      <c r="C753" s="1135"/>
      <c r="D753" s="1135"/>
      <c r="E753" s="1135"/>
      <c r="F753" s="1135"/>
      <c r="G753" s="1135"/>
      <c r="H753" s="1135"/>
      <c r="I753" s="1135"/>
      <c r="J753" s="1135"/>
      <c r="K753" s="1135"/>
      <c r="L753" s="1135"/>
      <c r="M753" s="1135"/>
      <c r="N753" s="1135"/>
      <c r="O753" s="1135"/>
      <c r="P753" s="1135"/>
    </row>
    <row r="754" spans="3:16">
      <c r="C754" s="1135"/>
      <c r="D754" s="1135"/>
      <c r="E754" s="1135"/>
      <c r="F754" s="1135"/>
      <c r="G754" s="1135"/>
      <c r="H754" s="1135"/>
      <c r="I754" s="1135"/>
      <c r="J754" s="1135"/>
      <c r="K754" s="1135"/>
      <c r="L754" s="1135"/>
      <c r="M754" s="1135"/>
      <c r="N754" s="1135"/>
      <c r="O754" s="1135"/>
      <c r="P754" s="1135"/>
    </row>
    <row r="755" spans="3:16">
      <c r="C755" s="1135"/>
      <c r="D755" s="1135"/>
      <c r="E755" s="1135"/>
      <c r="F755" s="1135"/>
      <c r="G755" s="1135"/>
      <c r="H755" s="1135"/>
      <c r="I755" s="1135"/>
      <c r="J755" s="1135"/>
      <c r="K755" s="1135"/>
      <c r="L755" s="1135"/>
      <c r="M755" s="1135"/>
      <c r="N755" s="1135"/>
      <c r="O755" s="1135"/>
      <c r="P755" s="1135"/>
    </row>
    <row r="756" spans="3:16">
      <c r="C756" s="1135"/>
      <c r="D756" s="1135"/>
      <c r="E756" s="1135"/>
      <c r="F756" s="1135"/>
      <c r="G756" s="1135"/>
      <c r="H756" s="1135"/>
      <c r="I756" s="1135"/>
      <c r="J756" s="1135"/>
      <c r="K756" s="1135"/>
      <c r="L756" s="1135"/>
      <c r="M756" s="1135"/>
      <c r="N756" s="1135"/>
      <c r="O756" s="1135"/>
      <c r="P756" s="1135"/>
    </row>
    <row r="757" spans="3:16">
      <c r="C757" s="1135"/>
      <c r="D757" s="1135"/>
      <c r="E757" s="1135"/>
      <c r="F757" s="1135"/>
      <c r="G757" s="1135"/>
      <c r="H757" s="1135"/>
      <c r="I757" s="1135"/>
      <c r="J757" s="1135"/>
      <c r="K757" s="1135"/>
      <c r="L757" s="1135"/>
      <c r="M757" s="1135"/>
      <c r="N757" s="1135"/>
      <c r="O757" s="1135"/>
      <c r="P757" s="1135"/>
    </row>
    <row r="758" spans="3:16">
      <c r="C758" s="1135"/>
      <c r="D758" s="1135"/>
      <c r="E758" s="1135"/>
      <c r="F758" s="1135"/>
      <c r="G758" s="1135"/>
      <c r="H758" s="1135"/>
      <c r="I758" s="1135"/>
      <c r="J758" s="1135"/>
      <c r="K758" s="1135"/>
      <c r="L758" s="1135"/>
      <c r="M758" s="1135"/>
      <c r="N758" s="1135"/>
      <c r="O758" s="1135"/>
      <c r="P758" s="1135"/>
    </row>
    <row r="759" spans="3:16">
      <c r="C759" s="1135"/>
      <c r="D759" s="1135"/>
      <c r="E759" s="1135"/>
      <c r="F759" s="1135"/>
      <c r="G759" s="1135"/>
      <c r="H759" s="1135"/>
      <c r="I759" s="1135"/>
      <c r="J759" s="1135"/>
      <c r="K759" s="1135"/>
      <c r="L759" s="1135"/>
      <c r="M759" s="1135"/>
      <c r="N759" s="1135"/>
      <c r="O759" s="1135"/>
      <c r="P759" s="1135"/>
    </row>
    <row r="760" spans="3:16">
      <c r="C760" s="1135"/>
      <c r="D760" s="1135"/>
      <c r="E760" s="1135"/>
      <c r="F760" s="1135"/>
      <c r="G760" s="1135"/>
      <c r="H760" s="1135"/>
      <c r="I760" s="1135"/>
      <c r="J760" s="1135"/>
      <c r="K760" s="1135"/>
      <c r="L760" s="1135"/>
      <c r="M760" s="1135"/>
      <c r="N760" s="1135"/>
      <c r="O760" s="1135"/>
      <c r="P760" s="1135"/>
    </row>
    <row r="761" spans="3:16">
      <c r="C761" s="1135"/>
      <c r="D761" s="1135"/>
      <c r="E761" s="1135"/>
      <c r="F761" s="1135"/>
      <c r="G761" s="1135"/>
      <c r="H761" s="1135"/>
      <c r="I761" s="1135"/>
      <c r="J761" s="1135"/>
      <c r="K761" s="1135"/>
      <c r="L761" s="1135"/>
      <c r="M761" s="1135"/>
      <c r="N761" s="1135"/>
      <c r="O761" s="1135"/>
      <c r="P761" s="1135"/>
    </row>
    <row r="762" spans="3:16">
      <c r="C762" s="1135"/>
      <c r="D762" s="1135"/>
      <c r="E762" s="1135"/>
      <c r="F762" s="1135"/>
      <c r="G762" s="1135"/>
      <c r="H762" s="1135"/>
      <c r="I762" s="1135"/>
      <c r="J762" s="1135"/>
      <c r="K762" s="1135"/>
      <c r="L762" s="1135"/>
      <c r="M762" s="1135"/>
      <c r="N762" s="1135"/>
      <c r="O762" s="1135"/>
      <c r="P762" s="1135"/>
    </row>
    <row r="763" spans="3:16">
      <c r="C763" s="1135"/>
      <c r="D763" s="1135"/>
      <c r="E763" s="1135"/>
      <c r="F763" s="1135"/>
      <c r="G763" s="1135"/>
      <c r="H763" s="1135"/>
      <c r="I763" s="1135"/>
      <c r="J763" s="1135"/>
      <c r="K763" s="1135"/>
      <c r="L763" s="1135"/>
      <c r="M763" s="1135"/>
      <c r="N763" s="1135"/>
      <c r="O763" s="1135"/>
      <c r="P763" s="1135"/>
    </row>
    <row r="764" spans="3:16">
      <c r="C764" s="1135"/>
      <c r="D764" s="1135"/>
      <c r="E764" s="1135"/>
      <c r="F764" s="1135"/>
      <c r="G764" s="1135"/>
      <c r="H764" s="1135"/>
      <c r="I764" s="1135"/>
      <c r="J764" s="1135"/>
      <c r="K764" s="1135"/>
      <c r="L764" s="1135"/>
      <c r="M764" s="1135"/>
      <c r="N764" s="1135"/>
      <c r="O764" s="1135"/>
      <c r="P764" s="1135"/>
    </row>
    <row r="765" spans="3:16">
      <c r="C765" s="1135"/>
      <c r="D765" s="1135"/>
      <c r="E765" s="1135"/>
      <c r="F765" s="1135"/>
      <c r="G765" s="1135"/>
      <c r="H765" s="1135"/>
      <c r="I765" s="1135"/>
      <c r="J765" s="1135"/>
      <c r="K765" s="1135"/>
      <c r="L765" s="1135"/>
      <c r="M765" s="1135"/>
      <c r="N765" s="1135"/>
      <c r="O765" s="1135"/>
      <c r="P765" s="1135"/>
    </row>
    <row r="766" spans="3:16">
      <c r="C766" s="1135"/>
      <c r="D766" s="1135"/>
      <c r="E766" s="1135"/>
      <c r="F766" s="1135"/>
      <c r="G766" s="1135"/>
      <c r="H766" s="1135"/>
      <c r="I766" s="1135"/>
      <c r="J766" s="1135"/>
      <c r="K766" s="1135"/>
      <c r="L766" s="1135"/>
      <c r="M766" s="1135"/>
      <c r="N766" s="1135"/>
      <c r="O766" s="1135"/>
      <c r="P766" s="1135"/>
    </row>
    <row r="767" spans="3:16">
      <c r="C767" s="1135"/>
      <c r="D767" s="1135"/>
      <c r="E767" s="1135"/>
      <c r="F767" s="1135"/>
      <c r="G767" s="1135"/>
      <c r="H767" s="1135"/>
      <c r="I767" s="1135"/>
      <c r="J767" s="1135"/>
      <c r="K767" s="1135"/>
      <c r="L767" s="1135"/>
      <c r="M767" s="1135"/>
      <c r="N767" s="1135"/>
      <c r="O767" s="1135"/>
      <c r="P767" s="1135"/>
    </row>
    <row r="768" spans="3:16">
      <c r="C768" s="1135"/>
      <c r="D768" s="1135"/>
      <c r="E768" s="1135"/>
      <c r="F768" s="1135"/>
      <c r="G768" s="1135"/>
      <c r="H768" s="1135"/>
      <c r="I768" s="1135"/>
      <c r="J768" s="1135"/>
      <c r="K768" s="1135"/>
      <c r="L768" s="1135"/>
      <c r="M768" s="1135"/>
      <c r="N768" s="1135"/>
      <c r="O768" s="1135"/>
      <c r="P768" s="1135"/>
    </row>
    <row r="769" spans="3:16">
      <c r="C769" s="1135"/>
      <c r="D769" s="1135"/>
      <c r="E769" s="1135"/>
      <c r="F769" s="1135"/>
      <c r="G769" s="1135"/>
      <c r="H769" s="1135"/>
      <c r="I769" s="1135"/>
      <c r="J769" s="1135"/>
      <c r="K769" s="1135"/>
      <c r="L769" s="1135"/>
      <c r="M769" s="1135"/>
      <c r="N769" s="1135"/>
      <c r="O769" s="1135"/>
      <c r="P769" s="1135"/>
    </row>
    <row r="770" spans="3:16">
      <c r="C770" s="1135"/>
      <c r="D770" s="1135"/>
      <c r="E770" s="1135"/>
      <c r="F770" s="1135"/>
      <c r="G770" s="1135"/>
      <c r="H770" s="1135"/>
      <c r="I770" s="1135"/>
      <c r="J770" s="1135"/>
      <c r="K770" s="1135"/>
      <c r="L770" s="1135"/>
      <c r="M770" s="1135"/>
      <c r="N770" s="1135"/>
      <c r="O770" s="1135"/>
      <c r="P770" s="1135"/>
    </row>
    <row r="771" spans="3:16">
      <c r="C771" s="1135"/>
      <c r="D771" s="1135"/>
      <c r="E771" s="1135"/>
      <c r="F771" s="1135"/>
      <c r="G771" s="1135"/>
      <c r="H771" s="1135"/>
      <c r="I771" s="1135"/>
      <c r="J771" s="1135"/>
      <c r="K771" s="1135"/>
      <c r="L771" s="1135"/>
      <c r="M771" s="1135"/>
      <c r="N771" s="1135"/>
      <c r="O771" s="1135"/>
      <c r="P771" s="1135"/>
    </row>
    <row r="772" spans="3:16">
      <c r="C772" s="1135"/>
      <c r="D772" s="1135"/>
      <c r="E772" s="1135"/>
      <c r="F772" s="1135"/>
      <c r="G772" s="1135"/>
      <c r="H772" s="1135"/>
      <c r="I772" s="1135"/>
      <c r="J772" s="1135"/>
      <c r="K772" s="1135"/>
      <c r="L772" s="1135"/>
      <c r="M772" s="1135"/>
      <c r="N772" s="1135"/>
      <c r="O772" s="1135"/>
      <c r="P772" s="1135"/>
    </row>
    <row r="773" spans="3:16">
      <c r="C773" s="1135"/>
      <c r="D773" s="1135"/>
      <c r="E773" s="1135"/>
      <c r="F773" s="1135"/>
      <c r="G773" s="1135"/>
      <c r="H773" s="1135"/>
      <c r="I773" s="1135"/>
      <c r="J773" s="1135"/>
      <c r="K773" s="1135"/>
      <c r="L773" s="1135"/>
      <c r="M773" s="1135"/>
      <c r="N773" s="1135"/>
      <c r="O773" s="1135"/>
      <c r="P773" s="1135"/>
    </row>
    <row r="774" spans="3:16">
      <c r="C774" s="1135"/>
      <c r="D774" s="1135"/>
      <c r="E774" s="1135"/>
      <c r="F774" s="1135"/>
      <c r="G774" s="1135"/>
      <c r="H774" s="1135"/>
      <c r="I774" s="1135"/>
      <c r="J774" s="1135"/>
      <c r="K774" s="1135"/>
      <c r="L774" s="1135"/>
      <c r="M774" s="1135"/>
      <c r="N774" s="1135"/>
      <c r="O774" s="1135"/>
      <c r="P774" s="1135"/>
    </row>
    <row r="775" spans="3:16">
      <c r="C775" s="1135"/>
      <c r="D775" s="1135"/>
      <c r="E775" s="1135"/>
      <c r="F775" s="1135"/>
      <c r="G775" s="1135"/>
      <c r="H775" s="1135"/>
      <c r="I775" s="1135"/>
      <c r="J775" s="1135"/>
      <c r="K775" s="1135"/>
      <c r="L775" s="1135"/>
      <c r="M775" s="1135"/>
      <c r="N775" s="1135"/>
      <c r="O775" s="1135"/>
      <c r="P775" s="1135"/>
    </row>
    <row r="776" spans="3:16">
      <c r="C776" s="1135"/>
      <c r="D776" s="1135"/>
      <c r="E776" s="1135"/>
      <c r="F776" s="1135"/>
      <c r="G776" s="1135"/>
      <c r="H776" s="1135"/>
      <c r="I776" s="1135"/>
      <c r="J776" s="1135"/>
      <c r="K776" s="1135"/>
      <c r="L776" s="1135"/>
      <c r="M776" s="1135"/>
      <c r="N776" s="1135"/>
      <c r="O776" s="1135"/>
      <c r="P776" s="1135"/>
    </row>
    <row r="777" spans="3:16">
      <c r="C777" s="1135"/>
      <c r="D777" s="1135"/>
      <c r="E777" s="1135"/>
      <c r="F777" s="1135"/>
      <c r="G777" s="1135"/>
      <c r="H777" s="1135"/>
      <c r="I777" s="1135"/>
      <c r="J777" s="1135"/>
      <c r="K777" s="1135"/>
      <c r="L777" s="1135"/>
      <c r="M777" s="1135"/>
      <c r="N777" s="1135"/>
      <c r="O777" s="1135"/>
      <c r="P777" s="1135"/>
    </row>
    <row r="778" spans="3:16">
      <c r="C778" s="1135"/>
      <c r="D778" s="1135"/>
      <c r="E778" s="1135"/>
      <c r="F778" s="1135"/>
      <c r="G778" s="1135"/>
      <c r="H778" s="1135"/>
      <c r="I778" s="1135"/>
      <c r="J778" s="1135"/>
      <c r="K778" s="1135"/>
      <c r="L778" s="1135"/>
      <c r="M778" s="1135"/>
      <c r="N778" s="1135"/>
      <c r="O778" s="1135"/>
      <c r="P778" s="1135"/>
    </row>
    <row r="779" spans="3:16">
      <c r="C779" s="1135"/>
      <c r="D779" s="1135"/>
      <c r="E779" s="1135"/>
      <c r="F779" s="1135"/>
      <c r="G779" s="1135"/>
      <c r="H779" s="1135"/>
      <c r="I779" s="1135"/>
      <c r="J779" s="1135"/>
      <c r="K779" s="1135"/>
      <c r="L779" s="1135"/>
      <c r="M779" s="1135"/>
      <c r="N779" s="1135"/>
      <c r="O779" s="1135"/>
      <c r="P779" s="1135"/>
    </row>
    <row r="780" spans="3:16">
      <c r="C780" s="1135"/>
      <c r="D780" s="1135"/>
      <c r="E780" s="1135"/>
      <c r="F780" s="1135"/>
      <c r="G780" s="1135"/>
      <c r="H780" s="1135"/>
      <c r="I780" s="1135"/>
      <c r="J780" s="1135"/>
      <c r="K780" s="1135"/>
      <c r="L780" s="1135"/>
      <c r="M780" s="1135"/>
      <c r="N780" s="1135"/>
      <c r="O780" s="1135"/>
      <c r="P780" s="1135"/>
    </row>
    <row r="781" spans="3:16">
      <c r="C781" s="1135"/>
      <c r="D781" s="1135"/>
      <c r="E781" s="1135"/>
      <c r="F781" s="1135"/>
      <c r="G781" s="1135"/>
      <c r="H781" s="1135"/>
      <c r="I781" s="1135"/>
      <c r="J781" s="1135"/>
      <c r="K781" s="1135"/>
      <c r="L781" s="1135"/>
      <c r="M781" s="1135"/>
      <c r="N781" s="1135"/>
      <c r="O781" s="1135"/>
      <c r="P781" s="1135"/>
    </row>
    <row r="782" spans="3:16">
      <c r="C782" s="1135"/>
      <c r="D782" s="1135"/>
      <c r="E782" s="1135"/>
      <c r="F782" s="1135"/>
      <c r="G782" s="1135"/>
      <c r="H782" s="1135"/>
      <c r="I782" s="1135"/>
      <c r="J782" s="1135"/>
      <c r="K782" s="1135"/>
      <c r="L782" s="1135"/>
      <c r="M782" s="1135"/>
      <c r="N782" s="1135"/>
      <c r="O782" s="1135"/>
      <c r="P782" s="1135"/>
    </row>
    <row r="783" spans="3:16">
      <c r="C783" s="1135"/>
      <c r="D783" s="1135"/>
      <c r="E783" s="1135"/>
      <c r="F783" s="1135"/>
      <c r="G783" s="1135"/>
      <c r="H783" s="1135"/>
      <c r="I783" s="1135"/>
      <c r="J783" s="1135"/>
      <c r="K783" s="1135"/>
      <c r="L783" s="1135"/>
      <c r="M783" s="1135"/>
      <c r="N783" s="1135"/>
      <c r="O783" s="1135"/>
      <c r="P783" s="1135"/>
    </row>
    <row r="784" spans="3:16">
      <c r="C784" s="1135"/>
      <c r="D784" s="1135"/>
      <c r="E784" s="1135"/>
      <c r="F784" s="1135"/>
      <c r="G784" s="1135"/>
      <c r="H784" s="1135"/>
      <c r="I784" s="1135"/>
      <c r="J784" s="1135"/>
      <c r="K784" s="1135"/>
      <c r="L784" s="1135"/>
      <c r="M784" s="1135"/>
      <c r="N784" s="1135"/>
      <c r="O784" s="1135"/>
      <c r="P784" s="1135"/>
    </row>
    <row r="785" spans="3:16">
      <c r="C785" s="1135"/>
      <c r="D785" s="1135"/>
      <c r="E785" s="1135"/>
      <c r="F785" s="1135"/>
      <c r="G785" s="1135"/>
      <c r="H785" s="1135"/>
      <c r="I785" s="1135"/>
      <c r="J785" s="1135"/>
      <c r="K785" s="1135"/>
      <c r="L785" s="1135"/>
      <c r="M785" s="1135"/>
      <c r="N785" s="1135"/>
      <c r="O785" s="1135"/>
      <c r="P785" s="1135"/>
    </row>
    <row r="786" spans="3:16">
      <c r="C786" s="1135"/>
      <c r="D786" s="1135"/>
      <c r="E786" s="1135"/>
      <c r="F786" s="1135"/>
      <c r="G786" s="1135"/>
      <c r="H786" s="1135"/>
      <c r="I786" s="1135"/>
      <c r="J786" s="1135"/>
      <c r="K786" s="1135"/>
      <c r="L786" s="1135"/>
      <c r="M786" s="1135"/>
      <c r="N786" s="1135"/>
      <c r="O786" s="1135"/>
      <c r="P786" s="1135"/>
    </row>
    <row r="787" spans="3:16">
      <c r="C787" s="1135"/>
      <c r="D787" s="1135"/>
      <c r="E787" s="1135"/>
      <c r="F787" s="1135"/>
      <c r="G787" s="1135"/>
      <c r="H787" s="1135"/>
      <c r="I787" s="1135"/>
      <c r="J787" s="1135"/>
      <c r="K787" s="1135"/>
      <c r="L787" s="1135"/>
      <c r="M787" s="1135"/>
      <c r="N787" s="1135"/>
      <c r="O787" s="1135"/>
      <c r="P787" s="1135"/>
    </row>
    <row r="788" spans="3:16">
      <c r="C788" s="1135"/>
      <c r="D788" s="1135"/>
      <c r="E788" s="1135"/>
      <c r="F788" s="1135"/>
      <c r="G788" s="1135"/>
      <c r="H788" s="1135"/>
      <c r="I788" s="1135"/>
      <c r="J788" s="1135"/>
      <c r="K788" s="1135"/>
      <c r="L788" s="1135"/>
      <c r="M788" s="1135"/>
      <c r="N788" s="1135"/>
      <c r="O788" s="1135"/>
      <c r="P788" s="1135"/>
    </row>
    <row r="789" spans="3:16">
      <c r="C789" s="1135"/>
      <c r="D789" s="1135"/>
      <c r="E789" s="1135"/>
      <c r="F789" s="1135"/>
      <c r="G789" s="1135"/>
      <c r="H789" s="1135"/>
      <c r="I789" s="1135"/>
      <c r="J789" s="1135"/>
      <c r="K789" s="1135"/>
      <c r="L789" s="1135"/>
      <c r="M789" s="1135"/>
      <c r="N789" s="1135"/>
      <c r="O789" s="1135"/>
      <c r="P789" s="1135"/>
    </row>
    <row r="790" spans="3:16">
      <c r="C790" s="1135"/>
      <c r="D790" s="1135"/>
      <c r="E790" s="1135"/>
      <c r="F790" s="1135"/>
      <c r="G790" s="1135"/>
      <c r="H790" s="1135"/>
      <c r="I790" s="1135"/>
      <c r="J790" s="1135"/>
      <c r="K790" s="1135"/>
      <c r="L790" s="1135"/>
      <c r="M790" s="1135"/>
      <c r="N790" s="1135"/>
      <c r="O790" s="1135"/>
      <c r="P790" s="1135"/>
    </row>
    <row r="791" spans="3:16">
      <c r="C791" s="1135"/>
      <c r="D791" s="1135"/>
      <c r="E791" s="1135"/>
      <c r="F791" s="1135"/>
      <c r="G791" s="1135"/>
      <c r="H791" s="1135"/>
      <c r="I791" s="1135"/>
      <c r="J791" s="1135"/>
      <c r="K791" s="1135"/>
      <c r="L791" s="1135"/>
      <c r="M791" s="1135"/>
      <c r="N791" s="1135"/>
      <c r="O791" s="1135"/>
      <c r="P791" s="1135"/>
    </row>
    <row r="792" spans="3:16">
      <c r="C792" s="1135"/>
      <c r="D792" s="1135"/>
      <c r="E792" s="1135"/>
      <c r="F792" s="1135"/>
      <c r="G792" s="1135"/>
      <c r="H792" s="1135"/>
      <c r="I792" s="1135"/>
      <c r="J792" s="1135"/>
      <c r="K792" s="1135"/>
      <c r="L792" s="1135"/>
      <c r="M792" s="1135"/>
      <c r="N792" s="1135"/>
      <c r="O792" s="1135"/>
      <c r="P792" s="1135"/>
    </row>
    <row r="793" spans="3:16">
      <c r="C793" s="1135"/>
      <c r="D793" s="1135"/>
      <c r="E793" s="1135"/>
      <c r="F793" s="1135"/>
      <c r="G793" s="1135"/>
      <c r="H793" s="1135"/>
      <c r="I793" s="1135"/>
      <c r="J793" s="1135"/>
      <c r="K793" s="1135"/>
      <c r="L793" s="1135"/>
      <c r="M793" s="1135"/>
      <c r="N793" s="1135"/>
      <c r="O793" s="1135"/>
      <c r="P793" s="1135"/>
    </row>
    <row r="794" spans="3:16">
      <c r="C794" s="1135"/>
      <c r="D794" s="1135"/>
      <c r="E794" s="1135"/>
      <c r="F794" s="1135"/>
      <c r="G794" s="1135"/>
      <c r="H794" s="1135"/>
      <c r="I794" s="1135"/>
      <c r="J794" s="1135"/>
      <c r="K794" s="1135"/>
      <c r="L794" s="1135"/>
      <c r="M794" s="1135"/>
      <c r="N794" s="1135"/>
      <c r="O794" s="1135"/>
      <c r="P794" s="1135"/>
    </row>
    <row r="795" spans="3:16">
      <c r="C795" s="1135"/>
      <c r="D795" s="1135"/>
      <c r="E795" s="1135"/>
      <c r="F795" s="1135"/>
      <c r="G795" s="1135"/>
      <c r="H795" s="1135"/>
      <c r="I795" s="1135"/>
      <c r="J795" s="1135"/>
      <c r="K795" s="1135"/>
      <c r="L795" s="1135"/>
      <c r="M795" s="1135"/>
      <c r="N795" s="1135"/>
      <c r="O795" s="1135"/>
      <c r="P795" s="1135"/>
    </row>
    <row r="796" spans="3:16">
      <c r="C796" s="1135"/>
      <c r="D796" s="1135"/>
      <c r="E796" s="1135"/>
      <c r="F796" s="1135"/>
      <c r="G796" s="1135"/>
      <c r="H796" s="1135"/>
      <c r="I796" s="1135"/>
      <c r="J796" s="1135"/>
      <c r="K796" s="1135"/>
      <c r="L796" s="1135"/>
      <c r="M796" s="1135"/>
      <c r="N796" s="1135"/>
      <c r="O796" s="1135"/>
      <c r="P796" s="1135"/>
    </row>
    <row r="797" spans="3:16">
      <c r="C797" s="1135"/>
      <c r="D797" s="1135"/>
      <c r="E797" s="1135"/>
      <c r="F797" s="1135"/>
      <c r="G797" s="1135"/>
      <c r="H797" s="1135"/>
      <c r="I797" s="1135"/>
      <c r="J797" s="1135"/>
      <c r="K797" s="1135"/>
      <c r="L797" s="1135"/>
      <c r="M797" s="1135"/>
      <c r="N797" s="1135"/>
      <c r="O797" s="1135"/>
      <c r="P797" s="1135"/>
    </row>
    <row r="798" spans="3:16">
      <c r="C798" s="1135"/>
      <c r="D798" s="1135"/>
      <c r="E798" s="1135"/>
      <c r="F798" s="1135"/>
      <c r="G798" s="1135"/>
      <c r="H798" s="1135"/>
      <c r="I798" s="1135"/>
      <c r="J798" s="1135"/>
      <c r="K798" s="1135"/>
      <c r="L798" s="1135"/>
      <c r="M798" s="1135"/>
      <c r="N798" s="1135"/>
      <c r="O798" s="1135"/>
      <c r="P798" s="1135"/>
    </row>
    <row r="799" spans="3:16">
      <c r="C799" s="1135"/>
      <c r="D799" s="1135"/>
      <c r="E799" s="1135"/>
      <c r="F799" s="1135"/>
      <c r="G799" s="1135"/>
      <c r="H799" s="1135"/>
      <c r="I799" s="1135"/>
      <c r="J799" s="1135"/>
      <c r="K799" s="1135"/>
      <c r="L799" s="1135"/>
      <c r="M799" s="1135"/>
      <c r="N799" s="1135"/>
      <c r="O799" s="1135"/>
      <c r="P799" s="1135"/>
    </row>
    <row r="800" spans="3:16">
      <c r="C800" s="1135"/>
      <c r="D800" s="1135"/>
      <c r="E800" s="1135"/>
      <c r="F800" s="1135"/>
      <c r="G800" s="1135"/>
      <c r="H800" s="1135"/>
      <c r="I800" s="1135"/>
      <c r="J800" s="1135"/>
      <c r="K800" s="1135"/>
      <c r="L800" s="1135"/>
      <c r="M800" s="1135"/>
      <c r="N800" s="1135"/>
      <c r="O800" s="1135"/>
      <c r="P800" s="1135"/>
    </row>
    <row r="801" spans="3:16">
      <c r="C801" s="1135"/>
      <c r="D801" s="1135"/>
      <c r="E801" s="1135"/>
      <c r="F801" s="1135"/>
      <c r="G801" s="1135"/>
      <c r="H801" s="1135"/>
      <c r="I801" s="1135"/>
      <c r="J801" s="1135"/>
      <c r="K801" s="1135"/>
      <c r="L801" s="1135"/>
      <c r="M801" s="1135"/>
      <c r="N801" s="1135"/>
      <c r="O801" s="1135"/>
      <c r="P801" s="1135"/>
    </row>
    <row r="802" spans="3:16">
      <c r="C802" s="1135"/>
      <c r="D802" s="1135"/>
      <c r="E802" s="1135"/>
      <c r="F802" s="1135"/>
      <c r="G802" s="1135"/>
      <c r="H802" s="1135"/>
      <c r="I802" s="1135"/>
      <c r="J802" s="1135"/>
      <c r="K802" s="1135"/>
      <c r="L802" s="1135"/>
      <c r="M802" s="1135"/>
      <c r="N802" s="1135"/>
      <c r="O802" s="1135"/>
      <c r="P802" s="1135"/>
    </row>
    <row r="803" spans="3:16">
      <c r="C803" s="1135"/>
      <c r="D803" s="1135"/>
      <c r="E803" s="1135"/>
      <c r="F803" s="1135"/>
      <c r="G803" s="1135"/>
      <c r="H803" s="1135"/>
      <c r="I803" s="1135"/>
      <c r="J803" s="1135"/>
      <c r="K803" s="1135"/>
      <c r="L803" s="1135"/>
      <c r="M803" s="1135"/>
      <c r="N803" s="1135"/>
      <c r="O803" s="1135"/>
      <c r="P803" s="1135"/>
    </row>
    <row r="804" spans="3:16">
      <c r="C804" s="1135"/>
      <c r="D804" s="1135"/>
      <c r="E804" s="1135"/>
      <c r="F804" s="1135"/>
      <c r="G804" s="1135"/>
      <c r="H804" s="1135"/>
      <c r="I804" s="1135"/>
      <c r="J804" s="1135"/>
      <c r="K804" s="1135"/>
      <c r="L804" s="1135"/>
      <c r="M804" s="1135"/>
      <c r="N804" s="1135"/>
      <c r="O804" s="1135"/>
      <c r="P804" s="1135"/>
    </row>
    <row r="805" spans="3:16">
      <c r="C805" s="1135"/>
      <c r="D805" s="1135"/>
      <c r="E805" s="1135"/>
      <c r="F805" s="1135"/>
      <c r="G805" s="1135"/>
      <c r="H805" s="1135"/>
      <c r="I805" s="1135"/>
      <c r="J805" s="1135"/>
      <c r="K805" s="1135"/>
      <c r="L805" s="1135"/>
      <c r="M805" s="1135"/>
      <c r="N805" s="1135"/>
      <c r="O805" s="1135"/>
      <c r="P805" s="1135"/>
    </row>
    <row r="806" spans="3:16">
      <c r="C806" s="1135"/>
      <c r="D806" s="1135"/>
      <c r="E806" s="1135"/>
      <c r="F806" s="1135"/>
      <c r="G806" s="1135"/>
      <c r="H806" s="1135"/>
      <c r="I806" s="1135"/>
      <c r="J806" s="1135"/>
      <c r="K806" s="1135"/>
      <c r="L806" s="1135"/>
      <c r="M806" s="1135"/>
      <c r="N806" s="1135"/>
      <c r="O806" s="1135"/>
      <c r="P806" s="1135"/>
    </row>
    <row r="807" spans="3:16">
      <c r="C807" s="1135"/>
      <c r="D807" s="1135"/>
      <c r="E807" s="1135"/>
      <c r="F807" s="1135"/>
      <c r="G807" s="1135"/>
      <c r="H807" s="1135"/>
      <c r="I807" s="1135"/>
      <c r="J807" s="1135"/>
      <c r="K807" s="1135"/>
      <c r="L807" s="1135"/>
      <c r="M807" s="1135"/>
      <c r="N807" s="1135"/>
      <c r="O807" s="1135"/>
      <c r="P807" s="1135"/>
    </row>
    <row r="808" spans="3:16">
      <c r="C808" s="1135"/>
      <c r="D808" s="1135"/>
      <c r="E808" s="1135"/>
      <c r="F808" s="1135"/>
      <c r="G808" s="1135"/>
      <c r="H808" s="1135"/>
      <c r="I808" s="1135"/>
      <c r="J808" s="1135"/>
      <c r="K808" s="1135"/>
      <c r="L808" s="1135"/>
      <c r="M808" s="1135"/>
      <c r="N808" s="1135"/>
      <c r="O808" s="1135"/>
      <c r="P808" s="1135"/>
    </row>
    <row r="809" spans="3:16">
      <c r="C809" s="1135"/>
      <c r="D809" s="1135"/>
      <c r="E809" s="1135"/>
      <c r="F809" s="1135"/>
      <c r="G809" s="1135"/>
      <c r="H809" s="1135"/>
      <c r="I809" s="1135"/>
      <c r="J809" s="1135"/>
      <c r="K809" s="1135"/>
      <c r="L809" s="1135"/>
      <c r="M809" s="1135"/>
      <c r="N809" s="1135"/>
      <c r="O809" s="1135"/>
      <c r="P809" s="1135"/>
    </row>
    <row r="810" spans="3:16">
      <c r="C810" s="1135"/>
      <c r="D810" s="1135"/>
      <c r="E810" s="1135"/>
      <c r="F810" s="1135"/>
      <c r="G810" s="1135"/>
      <c r="H810" s="1135"/>
      <c r="I810" s="1135"/>
      <c r="J810" s="1135"/>
      <c r="K810" s="1135"/>
      <c r="L810" s="1135"/>
      <c r="M810" s="1135"/>
      <c r="N810" s="1135"/>
      <c r="O810" s="1135"/>
      <c r="P810" s="1135"/>
    </row>
    <row r="811" spans="3:16">
      <c r="C811" s="1135"/>
      <c r="D811" s="1135"/>
      <c r="E811" s="1135"/>
      <c r="F811" s="1135"/>
      <c r="G811" s="1135"/>
      <c r="H811" s="1135"/>
      <c r="I811" s="1135"/>
      <c r="J811" s="1135"/>
      <c r="K811" s="1135"/>
      <c r="L811" s="1135"/>
      <c r="M811" s="1135"/>
      <c r="N811" s="1135"/>
      <c r="O811" s="1135"/>
      <c r="P811" s="1135"/>
    </row>
    <row r="812" spans="3:16">
      <c r="C812" s="1135"/>
      <c r="D812" s="1135"/>
      <c r="E812" s="1135"/>
      <c r="F812" s="1135"/>
      <c r="G812" s="1135"/>
      <c r="H812" s="1135"/>
      <c r="I812" s="1135"/>
      <c r="J812" s="1135"/>
      <c r="K812" s="1135"/>
      <c r="L812" s="1135"/>
      <c r="M812" s="1135"/>
      <c r="N812" s="1135"/>
      <c r="O812" s="1135"/>
      <c r="P812" s="1135"/>
    </row>
    <row r="813" spans="3:16">
      <c r="C813" s="1135"/>
      <c r="D813" s="1135"/>
      <c r="E813" s="1135"/>
      <c r="F813" s="1135"/>
      <c r="G813" s="1135"/>
      <c r="H813" s="1135"/>
      <c r="I813" s="1135"/>
      <c r="J813" s="1135"/>
      <c r="K813" s="1135"/>
      <c r="L813" s="1135"/>
      <c r="M813" s="1135"/>
      <c r="N813" s="1135"/>
      <c r="O813" s="1135"/>
      <c r="P813" s="1135"/>
    </row>
    <row r="814" spans="3:16">
      <c r="C814" s="1135"/>
      <c r="D814" s="1135"/>
      <c r="E814" s="1135"/>
      <c r="F814" s="1135"/>
      <c r="G814" s="1135"/>
      <c r="H814" s="1135"/>
      <c r="I814" s="1135"/>
      <c r="J814" s="1135"/>
      <c r="K814" s="1135"/>
      <c r="L814" s="1135"/>
      <c r="M814" s="1135"/>
      <c r="N814" s="1135"/>
      <c r="O814" s="1135"/>
      <c r="P814" s="1135"/>
    </row>
    <row r="815" spans="3:16">
      <c r="C815" s="1135"/>
      <c r="D815" s="1135"/>
      <c r="E815" s="1135"/>
      <c r="F815" s="1135"/>
      <c r="G815" s="1135"/>
      <c r="H815" s="1135"/>
      <c r="I815" s="1135"/>
      <c r="J815" s="1135"/>
      <c r="K815" s="1135"/>
      <c r="L815" s="1135"/>
      <c r="M815" s="1135"/>
      <c r="N815" s="1135"/>
      <c r="O815" s="1135"/>
      <c r="P815" s="1135"/>
    </row>
    <row r="816" spans="3:16">
      <c r="C816" s="1135"/>
      <c r="D816" s="1135"/>
      <c r="E816" s="1135"/>
      <c r="F816" s="1135"/>
      <c r="G816" s="1135"/>
      <c r="H816" s="1135"/>
      <c r="I816" s="1135"/>
      <c r="J816" s="1135"/>
      <c r="K816" s="1135"/>
      <c r="L816" s="1135"/>
      <c r="M816" s="1135"/>
      <c r="N816" s="1135"/>
      <c r="O816" s="1135"/>
      <c r="P816" s="1135"/>
    </row>
    <row r="817" spans="3:16">
      <c r="C817" s="1135"/>
      <c r="D817" s="1135"/>
      <c r="E817" s="1135"/>
      <c r="F817" s="1135"/>
      <c r="G817" s="1135"/>
      <c r="H817" s="1135"/>
      <c r="I817" s="1135"/>
      <c r="J817" s="1135"/>
      <c r="K817" s="1135"/>
      <c r="L817" s="1135"/>
      <c r="M817" s="1135"/>
      <c r="N817" s="1135"/>
      <c r="O817" s="1135"/>
      <c r="P817" s="1135"/>
    </row>
    <row r="818" spans="3:16">
      <c r="C818" s="1135"/>
      <c r="D818" s="1135"/>
      <c r="E818" s="1135"/>
      <c r="F818" s="1135"/>
      <c r="G818" s="1135"/>
      <c r="H818" s="1135"/>
      <c r="I818" s="1135"/>
      <c r="J818" s="1135"/>
      <c r="K818" s="1135"/>
      <c r="L818" s="1135"/>
      <c r="M818" s="1135"/>
      <c r="N818" s="1135"/>
      <c r="O818" s="1135"/>
      <c r="P818" s="1135"/>
    </row>
    <row r="819" spans="3:16">
      <c r="C819" s="1135"/>
      <c r="D819" s="1135"/>
      <c r="E819" s="1135"/>
      <c r="F819" s="1135"/>
      <c r="G819" s="1135"/>
      <c r="H819" s="1135"/>
      <c r="I819" s="1135"/>
      <c r="J819" s="1135"/>
      <c r="K819" s="1135"/>
      <c r="L819" s="1135"/>
      <c r="M819" s="1135"/>
      <c r="N819" s="1135"/>
      <c r="O819" s="1135"/>
      <c r="P819" s="1135"/>
    </row>
    <row r="820" spans="3:16">
      <c r="C820" s="1135"/>
      <c r="D820" s="1135"/>
      <c r="E820" s="1135"/>
      <c r="F820" s="1135"/>
      <c r="G820" s="1135"/>
      <c r="H820" s="1135"/>
      <c r="I820" s="1135"/>
      <c r="J820" s="1135"/>
      <c r="K820" s="1135"/>
      <c r="L820" s="1135"/>
      <c r="M820" s="1135"/>
      <c r="N820" s="1135"/>
      <c r="O820" s="1135"/>
      <c r="P820" s="1135"/>
    </row>
    <row r="821" spans="3:16">
      <c r="C821" s="1135"/>
      <c r="D821" s="1135"/>
      <c r="E821" s="1135"/>
      <c r="F821" s="1135"/>
      <c r="G821" s="1135"/>
      <c r="H821" s="1135"/>
      <c r="I821" s="1135"/>
      <c r="J821" s="1135"/>
      <c r="K821" s="1135"/>
      <c r="L821" s="1135"/>
      <c r="M821" s="1135"/>
      <c r="N821" s="1135"/>
      <c r="O821" s="1135"/>
      <c r="P821" s="1135"/>
    </row>
    <row r="822" spans="3:16">
      <c r="C822" s="1135"/>
      <c r="D822" s="1135"/>
      <c r="E822" s="1135"/>
      <c r="F822" s="1135"/>
      <c r="G822" s="1135"/>
      <c r="H822" s="1135"/>
      <c r="I822" s="1135"/>
      <c r="J822" s="1135"/>
      <c r="K822" s="1135"/>
      <c r="L822" s="1135"/>
      <c r="M822" s="1135"/>
      <c r="N822" s="1135"/>
      <c r="O822" s="1135"/>
      <c r="P822" s="1135"/>
    </row>
    <row r="823" spans="3:16">
      <c r="C823" s="1135"/>
      <c r="D823" s="1135"/>
      <c r="E823" s="1135"/>
      <c r="F823" s="1135"/>
      <c r="G823" s="1135"/>
      <c r="H823" s="1135"/>
      <c r="I823" s="1135"/>
      <c r="J823" s="1135"/>
      <c r="K823" s="1135"/>
      <c r="L823" s="1135"/>
      <c r="M823" s="1135"/>
      <c r="N823" s="1135"/>
      <c r="O823" s="1135"/>
      <c r="P823" s="1135"/>
    </row>
    <row r="824" spans="3:16">
      <c r="C824" s="1135"/>
      <c r="D824" s="1135"/>
      <c r="E824" s="1135"/>
      <c r="F824" s="1135"/>
      <c r="G824" s="1135"/>
      <c r="H824" s="1135"/>
      <c r="I824" s="1135"/>
      <c r="J824" s="1135"/>
      <c r="K824" s="1135"/>
      <c r="L824" s="1135"/>
      <c r="M824" s="1135"/>
      <c r="N824" s="1135"/>
      <c r="O824" s="1135"/>
      <c r="P824" s="1135"/>
    </row>
    <row r="825" spans="3:16">
      <c r="C825" s="1135"/>
      <c r="D825" s="1135"/>
      <c r="E825" s="1135"/>
      <c r="F825" s="1135"/>
      <c r="G825" s="1135"/>
      <c r="H825" s="1135"/>
      <c r="I825" s="1135"/>
      <c r="J825" s="1135"/>
      <c r="K825" s="1135"/>
      <c r="L825" s="1135"/>
      <c r="M825" s="1135"/>
      <c r="N825" s="1135"/>
      <c r="O825" s="1135"/>
      <c r="P825" s="1135"/>
    </row>
    <row r="826" spans="3:16">
      <c r="C826" s="1135"/>
      <c r="D826" s="1135"/>
      <c r="E826" s="1135"/>
      <c r="F826" s="1135"/>
      <c r="G826" s="1135"/>
      <c r="H826" s="1135"/>
      <c r="I826" s="1135"/>
      <c r="J826" s="1135"/>
      <c r="K826" s="1135"/>
      <c r="L826" s="1135"/>
      <c r="M826" s="1135"/>
      <c r="N826" s="1135"/>
      <c r="O826" s="1135"/>
      <c r="P826" s="1135"/>
    </row>
    <row r="827" spans="3:16">
      <c r="C827" s="1135"/>
      <c r="D827" s="1135"/>
      <c r="E827" s="1135"/>
      <c r="F827" s="1135"/>
      <c r="G827" s="1135"/>
      <c r="H827" s="1135"/>
      <c r="I827" s="1135"/>
      <c r="J827" s="1135"/>
      <c r="K827" s="1135"/>
      <c r="L827" s="1135"/>
      <c r="M827" s="1135"/>
      <c r="N827" s="1135"/>
      <c r="O827" s="1135"/>
      <c r="P827" s="1135"/>
    </row>
    <row r="828" spans="3:16">
      <c r="C828" s="1135"/>
      <c r="D828" s="1135"/>
      <c r="E828" s="1135"/>
      <c r="F828" s="1135"/>
      <c r="G828" s="1135"/>
      <c r="H828" s="1135"/>
      <c r="I828" s="1135"/>
      <c r="J828" s="1135"/>
      <c r="K828" s="1135"/>
      <c r="L828" s="1135"/>
      <c r="M828" s="1135"/>
      <c r="N828" s="1135"/>
      <c r="O828" s="1135"/>
      <c r="P828" s="1135"/>
    </row>
    <row r="829" spans="3:16">
      <c r="C829" s="1135"/>
      <c r="D829" s="1135"/>
      <c r="E829" s="1135"/>
      <c r="F829" s="1135"/>
      <c r="G829" s="1135"/>
      <c r="H829" s="1135"/>
      <c r="I829" s="1135"/>
      <c r="J829" s="1135"/>
      <c r="K829" s="1135"/>
      <c r="L829" s="1135"/>
      <c r="M829" s="1135"/>
      <c r="N829" s="1135"/>
      <c r="O829" s="1135"/>
      <c r="P829" s="1135"/>
    </row>
    <row r="830" spans="3:16">
      <c r="C830" s="1135"/>
      <c r="D830" s="1135"/>
      <c r="E830" s="1135"/>
      <c r="F830" s="1135"/>
      <c r="G830" s="1135"/>
      <c r="H830" s="1135"/>
      <c r="I830" s="1135"/>
      <c r="J830" s="1135"/>
      <c r="K830" s="1135"/>
      <c r="L830" s="1135"/>
      <c r="M830" s="1135"/>
      <c r="N830" s="1135"/>
      <c r="O830" s="1135"/>
      <c r="P830" s="1135"/>
    </row>
    <row r="831" spans="3:16">
      <c r="C831" s="1135"/>
      <c r="D831" s="1135"/>
      <c r="E831" s="1135"/>
      <c r="F831" s="1135"/>
      <c r="G831" s="1135"/>
      <c r="H831" s="1135"/>
      <c r="I831" s="1135"/>
      <c r="J831" s="1135"/>
      <c r="K831" s="1135"/>
      <c r="L831" s="1135"/>
      <c r="M831" s="1135"/>
      <c r="N831" s="1135"/>
      <c r="O831" s="1135"/>
      <c r="P831" s="1135"/>
    </row>
    <row r="832" spans="3:16">
      <c r="C832" s="1135"/>
      <c r="D832" s="1135"/>
      <c r="E832" s="1135"/>
      <c r="F832" s="1135"/>
      <c r="G832" s="1135"/>
      <c r="H832" s="1135"/>
      <c r="I832" s="1135"/>
      <c r="J832" s="1135"/>
      <c r="K832" s="1135"/>
      <c r="L832" s="1135"/>
      <c r="M832" s="1135"/>
      <c r="N832" s="1135"/>
      <c r="O832" s="1135"/>
      <c r="P832" s="1135"/>
    </row>
    <row r="833" spans="3:16">
      <c r="C833" s="1135"/>
      <c r="D833" s="1135"/>
      <c r="E833" s="1135"/>
      <c r="F833" s="1135"/>
      <c r="G833" s="1135"/>
      <c r="H833" s="1135"/>
      <c r="I833" s="1135"/>
      <c r="J833" s="1135"/>
      <c r="K833" s="1135"/>
      <c r="L833" s="1135"/>
      <c r="M833" s="1135"/>
      <c r="N833" s="1135"/>
      <c r="O833" s="1135"/>
      <c r="P833" s="1135"/>
    </row>
    <row r="834" spans="3:16">
      <c r="C834" s="1135"/>
      <c r="D834" s="1135"/>
      <c r="E834" s="1135"/>
      <c r="F834" s="1135"/>
      <c r="G834" s="1135"/>
      <c r="H834" s="1135"/>
      <c r="I834" s="1135"/>
      <c r="J834" s="1135"/>
      <c r="K834" s="1135"/>
      <c r="L834" s="1135"/>
      <c r="M834" s="1135"/>
      <c r="N834" s="1135"/>
      <c r="O834" s="1135"/>
      <c r="P834" s="1135"/>
    </row>
    <row r="835" spans="3:16">
      <c r="C835" s="1135"/>
      <c r="D835" s="1135"/>
      <c r="E835" s="1135"/>
      <c r="F835" s="1135"/>
      <c r="G835" s="1135"/>
      <c r="H835" s="1135"/>
      <c r="I835" s="1135"/>
      <c r="J835" s="1135"/>
      <c r="K835" s="1135"/>
      <c r="L835" s="1135"/>
      <c r="M835" s="1135"/>
      <c r="N835" s="1135"/>
      <c r="O835" s="1135"/>
      <c r="P835" s="1135"/>
    </row>
    <row r="836" spans="3:16">
      <c r="C836" s="1135"/>
      <c r="D836" s="1135"/>
      <c r="E836" s="1135"/>
      <c r="F836" s="1135"/>
      <c r="G836" s="1135"/>
      <c r="H836" s="1135"/>
      <c r="I836" s="1135"/>
      <c r="J836" s="1135"/>
      <c r="K836" s="1135"/>
      <c r="L836" s="1135"/>
      <c r="M836" s="1135"/>
      <c r="N836" s="1135"/>
      <c r="O836" s="1135"/>
      <c r="P836" s="1135"/>
    </row>
    <row r="837" spans="3:16">
      <c r="C837" s="1135"/>
      <c r="D837" s="1135"/>
      <c r="E837" s="1135"/>
      <c r="F837" s="1135"/>
      <c r="G837" s="1135"/>
      <c r="H837" s="1135"/>
      <c r="I837" s="1135"/>
      <c r="J837" s="1135"/>
      <c r="K837" s="1135"/>
      <c r="L837" s="1135"/>
      <c r="M837" s="1135"/>
      <c r="N837" s="1135"/>
      <c r="O837" s="1135"/>
      <c r="P837" s="1135"/>
    </row>
    <row r="838" spans="3:16">
      <c r="C838" s="1135"/>
      <c r="D838" s="1135"/>
      <c r="E838" s="1135"/>
      <c r="F838" s="1135"/>
      <c r="G838" s="1135"/>
      <c r="H838" s="1135"/>
      <c r="I838" s="1135"/>
      <c r="J838" s="1135"/>
      <c r="K838" s="1135"/>
      <c r="L838" s="1135"/>
      <c r="M838" s="1135"/>
      <c r="N838" s="1135"/>
      <c r="O838" s="1135"/>
      <c r="P838" s="1135"/>
    </row>
    <row r="839" spans="3:16">
      <c r="C839" s="1135"/>
      <c r="D839" s="1135"/>
      <c r="E839" s="1135"/>
      <c r="F839" s="1135"/>
      <c r="G839" s="1135"/>
      <c r="H839" s="1135"/>
      <c r="I839" s="1135"/>
      <c r="J839" s="1135"/>
      <c r="K839" s="1135"/>
      <c r="L839" s="1135"/>
      <c r="M839" s="1135"/>
      <c r="N839" s="1135"/>
      <c r="O839" s="1135"/>
      <c r="P839" s="1135"/>
    </row>
    <row r="840" spans="3:16">
      <c r="C840" s="1135"/>
      <c r="D840" s="1135"/>
      <c r="E840" s="1135"/>
      <c r="F840" s="1135"/>
      <c r="G840" s="1135"/>
      <c r="H840" s="1135"/>
      <c r="I840" s="1135"/>
      <c r="J840" s="1135"/>
      <c r="K840" s="1135"/>
      <c r="L840" s="1135"/>
      <c r="M840" s="1135"/>
      <c r="N840" s="1135"/>
      <c r="O840" s="1135"/>
      <c r="P840" s="1135"/>
    </row>
    <row r="841" spans="3:16">
      <c r="C841" s="1135"/>
      <c r="D841" s="1135"/>
      <c r="E841" s="1135"/>
      <c r="F841" s="1135"/>
      <c r="G841" s="1135"/>
      <c r="H841" s="1135"/>
      <c r="I841" s="1135"/>
      <c r="J841" s="1135"/>
      <c r="K841" s="1135"/>
      <c r="L841" s="1135"/>
      <c r="M841" s="1135"/>
      <c r="N841" s="1135"/>
      <c r="O841" s="1135"/>
      <c r="P841" s="1135"/>
    </row>
    <row r="842" spans="3:16">
      <c r="C842" s="1135"/>
      <c r="D842" s="1135"/>
      <c r="E842" s="1135"/>
      <c r="F842" s="1135"/>
      <c r="G842" s="1135"/>
      <c r="H842" s="1135"/>
      <c r="I842" s="1135"/>
      <c r="J842" s="1135"/>
      <c r="K842" s="1135"/>
      <c r="L842" s="1135"/>
      <c r="M842" s="1135"/>
      <c r="N842" s="1135"/>
      <c r="O842" s="1135"/>
      <c r="P842" s="1135"/>
    </row>
    <row r="843" spans="3:16">
      <c r="C843" s="1135"/>
      <c r="D843" s="1135"/>
      <c r="E843" s="1135"/>
      <c r="F843" s="1135"/>
      <c r="G843" s="1135"/>
      <c r="H843" s="1135"/>
      <c r="I843" s="1135"/>
      <c r="J843" s="1135"/>
      <c r="K843" s="1135"/>
      <c r="L843" s="1135"/>
      <c r="M843" s="1135"/>
      <c r="N843" s="1135"/>
      <c r="O843" s="1135"/>
      <c r="P843" s="1135"/>
    </row>
    <row r="844" spans="3:16">
      <c r="C844" s="1135"/>
      <c r="D844" s="1135"/>
      <c r="E844" s="1135"/>
      <c r="F844" s="1135"/>
      <c r="G844" s="1135"/>
      <c r="H844" s="1135"/>
      <c r="I844" s="1135"/>
      <c r="J844" s="1135"/>
      <c r="K844" s="1135"/>
      <c r="L844" s="1135"/>
      <c r="M844" s="1135"/>
      <c r="N844" s="1135"/>
      <c r="O844" s="1135"/>
      <c r="P844" s="1135"/>
    </row>
    <row r="845" spans="3:16">
      <c r="C845" s="1135"/>
      <c r="D845" s="1135"/>
      <c r="E845" s="1135"/>
      <c r="F845" s="1135"/>
      <c r="G845" s="1135"/>
      <c r="H845" s="1135"/>
      <c r="I845" s="1135"/>
      <c r="J845" s="1135"/>
      <c r="K845" s="1135"/>
      <c r="L845" s="1135"/>
      <c r="M845" s="1135"/>
      <c r="N845" s="1135"/>
      <c r="O845" s="1135"/>
      <c r="P845" s="1135"/>
    </row>
    <row r="846" spans="3:16">
      <c r="C846" s="1135"/>
      <c r="D846" s="1135"/>
      <c r="E846" s="1135"/>
      <c r="F846" s="1135"/>
      <c r="G846" s="1135"/>
      <c r="H846" s="1135"/>
      <c r="I846" s="1135"/>
      <c r="J846" s="1135"/>
      <c r="K846" s="1135"/>
      <c r="L846" s="1135"/>
      <c r="M846" s="1135"/>
      <c r="N846" s="1135"/>
      <c r="O846" s="1135"/>
      <c r="P846" s="1135"/>
    </row>
    <row r="847" spans="3:16">
      <c r="C847" s="1135"/>
      <c r="D847" s="1135"/>
      <c r="E847" s="1135"/>
      <c r="F847" s="1135"/>
      <c r="G847" s="1135"/>
      <c r="H847" s="1135"/>
      <c r="I847" s="1135"/>
      <c r="J847" s="1135"/>
      <c r="K847" s="1135"/>
      <c r="L847" s="1135"/>
      <c r="M847" s="1135"/>
      <c r="N847" s="1135"/>
      <c r="O847" s="1135"/>
      <c r="P847" s="1135"/>
    </row>
    <row r="848" spans="3:16">
      <c r="C848" s="1135"/>
      <c r="D848" s="1135"/>
      <c r="E848" s="1135"/>
      <c r="F848" s="1135"/>
      <c r="G848" s="1135"/>
      <c r="H848" s="1135"/>
      <c r="I848" s="1135"/>
      <c r="J848" s="1135"/>
      <c r="K848" s="1135"/>
      <c r="L848" s="1135"/>
      <c r="M848" s="1135"/>
      <c r="N848" s="1135"/>
      <c r="O848" s="1135"/>
      <c r="P848" s="1135"/>
    </row>
    <row r="849" spans="3:16">
      <c r="C849" s="1135"/>
      <c r="D849" s="1135"/>
      <c r="E849" s="1135"/>
      <c r="F849" s="1135"/>
      <c r="G849" s="1135"/>
      <c r="H849" s="1135"/>
      <c r="I849" s="1135"/>
      <c r="J849" s="1135"/>
      <c r="K849" s="1135"/>
      <c r="L849" s="1135"/>
      <c r="M849" s="1135"/>
      <c r="N849" s="1135"/>
      <c r="O849" s="1135"/>
      <c r="P849" s="1135"/>
    </row>
    <row r="850" spans="3:16">
      <c r="C850" s="1135"/>
      <c r="D850" s="1135"/>
      <c r="E850" s="1135"/>
      <c r="F850" s="1135"/>
      <c r="G850" s="1135"/>
      <c r="H850" s="1135"/>
      <c r="I850" s="1135"/>
      <c r="J850" s="1135"/>
      <c r="K850" s="1135"/>
      <c r="L850" s="1135"/>
      <c r="M850" s="1135"/>
      <c r="N850" s="1135"/>
      <c r="O850" s="1135"/>
      <c r="P850" s="1135"/>
    </row>
    <row r="851" spans="3:16">
      <c r="C851" s="1135"/>
      <c r="D851" s="1135"/>
      <c r="E851" s="1135"/>
      <c r="F851" s="1135"/>
      <c r="G851" s="1135"/>
      <c r="H851" s="1135"/>
      <c r="I851" s="1135"/>
      <c r="J851" s="1135"/>
      <c r="K851" s="1135"/>
      <c r="L851" s="1135"/>
      <c r="M851" s="1135"/>
      <c r="N851" s="1135"/>
      <c r="O851" s="1135"/>
      <c r="P851" s="1135"/>
    </row>
    <row r="852" spans="3:16">
      <c r="C852" s="1135"/>
      <c r="D852" s="1135"/>
      <c r="E852" s="1135"/>
      <c r="F852" s="1135"/>
      <c r="G852" s="1135"/>
      <c r="H852" s="1135"/>
      <c r="I852" s="1135"/>
      <c r="J852" s="1135"/>
      <c r="K852" s="1135"/>
      <c r="L852" s="1135"/>
      <c r="M852" s="1135"/>
      <c r="N852" s="1135"/>
      <c r="O852" s="1135"/>
      <c r="P852" s="1135"/>
    </row>
    <row r="853" spans="3:16">
      <c r="C853" s="1135"/>
      <c r="D853" s="1135"/>
      <c r="E853" s="1135"/>
      <c r="F853" s="1135"/>
      <c r="G853" s="1135"/>
      <c r="H853" s="1135"/>
      <c r="I853" s="1135"/>
      <c r="J853" s="1135"/>
      <c r="K853" s="1135"/>
      <c r="L853" s="1135"/>
      <c r="M853" s="1135"/>
      <c r="N853" s="1135"/>
      <c r="O853" s="1135"/>
      <c r="P853" s="1135"/>
    </row>
    <row r="854" spans="3:16">
      <c r="C854" s="1135"/>
      <c r="D854" s="1135"/>
      <c r="E854" s="1135"/>
      <c r="F854" s="1135"/>
      <c r="G854" s="1135"/>
      <c r="H854" s="1135"/>
      <c r="I854" s="1135"/>
      <c r="J854" s="1135"/>
      <c r="K854" s="1135"/>
      <c r="L854" s="1135"/>
      <c r="M854" s="1135"/>
      <c r="N854" s="1135"/>
      <c r="O854" s="1135"/>
      <c r="P854" s="1135"/>
    </row>
    <row r="855" spans="3:16">
      <c r="C855" s="1135"/>
      <c r="D855" s="1135"/>
      <c r="E855" s="1135"/>
      <c r="F855" s="1135"/>
      <c r="G855" s="1135"/>
      <c r="H855" s="1135"/>
      <c r="I855" s="1135"/>
      <c r="J855" s="1135"/>
      <c r="K855" s="1135"/>
      <c r="L855" s="1135"/>
      <c r="M855" s="1135"/>
      <c r="N855" s="1135"/>
      <c r="O855" s="1135"/>
      <c r="P855" s="1135"/>
    </row>
    <row r="856" spans="3:16">
      <c r="C856" s="1135"/>
      <c r="D856" s="1135"/>
      <c r="E856" s="1135"/>
      <c r="F856" s="1135"/>
      <c r="G856" s="1135"/>
      <c r="H856" s="1135"/>
      <c r="I856" s="1135"/>
      <c r="J856" s="1135"/>
      <c r="K856" s="1135"/>
      <c r="L856" s="1135"/>
      <c r="M856" s="1135"/>
      <c r="N856" s="1135"/>
      <c r="O856" s="1135"/>
      <c r="P856" s="1135"/>
    </row>
    <row r="857" spans="3:16">
      <c r="C857" s="1135"/>
      <c r="D857" s="1135"/>
      <c r="E857" s="1135"/>
      <c r="F857" s="1135"/>
      <c r="G857" s="1135"/>
      <c r="H857" s="1135"/>
      <c r="I857" s="1135"/>
      <c r="J857" s="1135"/>
      <c r="K857" s="1135"/>
      <c r="L857" s="1135"/>
      <c r="M857" s="1135"/>
      <c r="N857" s="1135"/>
      <c r="O857" s="1135"/>
      <c r="P857" s="1135"/>
    </row>
    <row r="858" spans="3:16">
      <c r="C858" s="1135"/>
      <c r="D858" s="1135"/>
      <c r="E858" s="1135"/>
      <c r="F858" s="1135"/>
      <c r="G858" s="1135"/>
      <c r="H858" s="1135"/>
      <c r="I858" s="1135"/>
      <c r="J858" s="1135"/>
      <c r="K858" s="1135"/>
      <c r="L858" s="1135"/>
      <c r="M858" s="1135"/>
      <c r="N858" s="1135"/>
      <c r="O858" s="1135"/>
      <c r="P858" s="1135"/>
    </row>
    <row r="859" spans="3:16">
      <c r="C859" s="1135"/>
      <c r="D859" s="1135"/>
      <c r="E859" s="1135"/>
      <c r="F859" s="1135"/>
      <c r="G859" s="1135"/>
      <c r="H859" s="1135"/>
      <c r="I859" s="1135"/>
      <c r="J859" s="1135"/>
      <c r="K859" s="1135"/>
      <c r="L859" s="1135"/>
      <c r="M859" s="1135"/>
      <c r="N859" s="1135"/>
      <c r="O859" s="1135"/>
      <c r="P859" s="1135"/>
    </row>
    <row r="860" spans="3:16">
      <c r="C860" s="1135"/>
      <c r="D860" s="1135"/>
      <c r="E860" s="1135"/>
      <c r="F860" s="1135"/>
      <c r="G860" s="1135"/>
      <c r="H860" s="1135"/>
      <c r="I860" s="1135"/>
      <c r="J860" s="1135"/>
      <c r="K860" s="1135"/>
      <c r="L860" s="1135"/>
      <c r="M860" s="1135"/>
      <c r="N860" s="1135"/>
      <c r="O860" s="1135"/>
      <c r="P860" s="1135"/>
    </row>
    <row r="861" spans="3:16">
      <c r="C861" s="1135"/>
      <c r="D861" s="1135"/>
      <c r="E861" s="1135"/>
      <c r="F861" s="1135"/>
      <c r="G861" s="1135"/>
      <c r="H861" s="1135"/>
      <c r="I861" s="1135"/>
      <c r="J861" s="1135"/>
      <c r="K861" s="1135"/>
      <c r="L861" s="1135"/>
      <c r="M861" s="1135"/>
      <c r="N861" s="1135"/>
      <c r="O861" s="1135"/>
      <c r="P861" s="1135"/>
    </row>
    <row r="862" spans="3:16">
      <c r="C862" s="1135"/>
      <c r="D862" s="1135"/>
      <c r="E862" s="1135"/>
      <c r="F862" s="1135"/>
      <c r="G862" s="1135"/>
      <c r="H862" s="1135"/>
      <c r="I862" s="1135"/>
      <c r="J862" s="1135"/>
      <c r="K862" s="1135"/>
      <c r="L862" s="1135"/>
      <c r="M862" s="1135"/>
      <c r="N862" s="1135"/>
      <c r="O862" s="1135"/>
      <c r="P862" s="1135"/>
    </row>
    <row r="863" spans="3:16">
      <c r="C863" s="1135"/>
      <c r="D863" s="1135"/>
      <c r="E863" s="1135"/>
      <c r="F863" s="1135"/>
      <c r="G863" s="1135"/>
      <c r="H863" s="1135"/>
      <c r="I863" s="1135"/>
      <c r="J863" s="1135"/>
      <c r="K863" s="1135"/>
      <c r="L863" s="1135"/>
      <c r="M863" s="1135"/>
      <c r="N863" s="1135"/>
      <c r="O863" s="1135"/>
      <c r="P863" s="1135"/>
    </row>
    <row r="864" spans="3:16">
      <c r="C864" s="1135"/>
      <c r="D864" s="1135"/>
      <c r="E864" s="1135"/>
      <c r="F864" s="1135"/>
      <c r="G864" s="1135"/>
      <c r="H864" s="1135"/>
      <c r="I864" s="1135"/>
      <c r="J864" s="1135"/>
      <c r="K864" s="1135"/>
      <c r="L864" s="1135"/>
      <c r="M864" s="1135"/>
      <c r="N864" s="1135"/>
      <c r="O864" s="1135"/>
      <c r="P864" s="1135"/>
    </row>
    <row r="865" spans="3:16">
      <c r="C865" s="1135"/>
      <c r="D865" s="1135"/>
      <c r="E865" s="1135"/>
      <c r="F865" s="1135"/>
      <c r="G865" s="1135"/>
      <c r="H865" s="1135"/>
      <c r="I865" s="1135"/>
      <c r="J865" s="1135"/>
      <c r="K865" s="1135"/>
      <c r="L865" s="1135"/>
      <c r="M865" s="1135"/>
      <c r="N865" s="1135"/>
      <c r="O865" s="1135"/>
      <c r="P865" s="1135"/>
    </row>
    <row r="866" spans="3:16">
      <c r="C866" s="1135"/>
      <c r="D866" s="1135"/>
      <c r="E866" s="1135"/>
      <c r="F866" s="1135"/>
      <c r="G866" s="1135"/>
      <c r="H866" s="1135"/>
      <c r="I866" s="1135"/>
      <c r="J866" s="1135"/>
      <c r="K866" s="1135"/>
      <c r="L866" s="1135"/>
      <c r="M866" s="1135"/>
      <c r="N866" s="1135"/>
      <c r="O866" s="1135"/>
      <c r="P866" s="1135"/>
    </row>
    <row r="867" spans="3:16">
      <c r="C867" s="1135"/>
      <c r="D867" s="1135"/>
      <c r="E867" s="1135"/>
      <c r="F867" s="1135"/>
      <c r="G867" s="1135"/>
      <c r="H867" s="1135"/>
      <c r="I867" s="1135"/>
      <c r="J867" s="1135"/>
      <c r="K867" s="1135"/>
      <c r="L867" s="1135"/>
      <c r="M867" s="1135"/>
      <c r="N867" s="1135"/>
      <c r="O867" s="1135"/>
      <c r="P867" s="1135"/>
    </row>
    <row r="868" spans="3:16">
      <c r="C868" s="1135"/>
      <c r="D868" s="1135"/>
      <c r="E868" s="1135"/>
      <c r="F868" s="1135"/>
      <c r="G868" s="1135"/>
      <c r="H868" s="1135"/>
      <c r="I868" s="1135"/>
      <c r="J868" s="1135"/>
      <c r="K868" s="1135"/>
      <c r="L868" s="1135"/>
      <c r="M868" s="1135"/>
      <c r="N868" s="1135"/>
      <c r="O868" s="1135"/>
      <c r="P868" s="1135"/>
    </row>
    <row r="869" spans="3:16">
      <c r="C869" s="1135"/>
      <c r="D869" s="1135"/>
      <c r="E869" s="1135"/>
      <c r="F869" s="1135"/>
      <c r="G869" s="1135"/>
      <c r="H869" s="1135"/>
      <c r="I869" s="1135"/>
      <c r="J869" s="1135"/>
      <c r="K869" s="1135"/>
      <c r="L869" s="1135"/>
      <c r="M869" s="1135"/>
      <c r="N869" s="1135"/>
      <c r="O869" s="1135"/>
      <c r="P869" s="1135"/>
    </row>
    <row r="870" spans="3:16">
      <c r="C870" s="1135"/>
      <c r="D870" s="1135"/>
      <c r="E870" s="1135"/>
      <c r="F870" s="1135"/>
      <c r="G870" s="1135"/>
      <c r="H870" s="1135"/>
      <c r="I870" s="1135"/>
      <c r="J870" s="1135"/>
      <c r="K870" s="1135"/>
      <c r="L870" s="1135"/>
      <c r="M870" s="1135"/>
      <c r="N870" s="1135"/>
      <c r="O870" s="1135"/>
      <c r="P870" s="1135"/>
    </row>
    <row r="871" spans="3:16">
      <c r="C871" s="1135"/>
      <c r="D871" s="1135"/>
      <c r="E871" s="1135"/>
      <c r="F871" s="1135"/>
      <c r="G871" s="1135"/>
      <c r="H871" s="1135"/>
      <c r="I871" s="1135"/>
      <c r="J871" s="1135"/>
      <c r="K871" s="1135"/>
      <c r="L871" s="1135"/>
      <c r="M871" s="1135"/>
      <c r="N871" s="1135"/>
      <c r="O871" s="1135"/>
      <c r="P871" s="1135"/>
    </row>
    <row r="872" spans="3:16">
      <c r="C872" s="1135"/>
      <c r="D872" s="1135"/>
      <c r="E872" s="1135"/>
      <c r="F872" s="1135"/>
      <c r="G872" s="1135"/>
      <c r="H872" s="1135"/>
      <c r="I872" s="1135"/>
      <c r="J872" s="1135"/>
      <c r="K872" s="1135"/>
      <c r="L872" s="1135"/>
      <c r="M872" s="1135"/>
      <c r="N872" s="1135"/>
      <c r="O872" s="1135"/>
      <c r="P872" s="1135"/>
    </row>
    <row r="873" spans="3:16">
      <c r="C873" s="1135"/>
      <c r="D873" s="1135"/>
      <c r="E873" s="1135"/>
      <c r="F873" s="1135"/>
      <c r="G873" s="1135"/>
      <c r="H873" s="1135"/>
      <c r="I873" s="1135"/>
      <c r="J873" s="1135"/>
      <c r="K873" s="1135"/>
      <c r="L873" s="1135"/>
      <c r="M873" s="1135"/>
      <c r="N873" s="1135"/>
      <c r="O873" s="1135"/>
      <c r="P873" s="1135"/>
    </row>
    <row r="874" spans="3:16">
      <c r="C874" s="1135"/>
      <c r="D874" s="1135"/>
      <c r="E874" s="1135"/>
      <c r="F874" s="1135"/>
      <c r="G874" s="1135"/>
      <c r="H874" s="1135"/>
      <c r="I874" s="1135"/>
      <c r="J874" s="1135"/>
      <c r="K874" s="1135"/>
      <c r="L874" s="1135"/>
      <c r="M874" s="1135"/>
      <c r="N874" s="1135"/>
      <c r="O874" s="1135"/>
      <c r="P874" s="1135"/>
    </row>
    <row r="875" spans="3:16">
      <c r="C875" s="1135"/>
      <c r="D875" s="1135"/>
      <c r="E875" s="1135"/>
      <c r="F875" s="1135"/>
      <c r="G875" s="1135"/>
      <c r="H875" s="1135"/>
      <c r="I875" s="1135"/>
      <c r="J875" s="1135"/>
      <c r="K875" s="1135"/>
      <c r="L875" s="1135"/>
      <c r="M875" s="1135"/>
      <c r="N875" s="1135"/>
      <c r="O875" s="1135"/>
      <c r="P875" s="1135"/>
    </row>
    <row r="876" spans="3:16">
      <c r="C876" s="1135"/>
      <c r="D876" s="1135"/>
      <c r="E876" s="1135"/>
      <c r="F876" s="1135"/>
      <c r="G876" s="1135"/>
      <c r="H876" s="1135"/>
      <c r="I876" s="1135"/>
      <c r="J876" s="1135"/>
      <c r="K876" s="1135"/>
      <c r="L876" s="1135"/>
      <c r="M876" s="1135"/>
      <c r="N876" s="1135"/>
      <c r="O876" s="1135"/>
      <c r="P876" s="1135"/>
    </row>
    <row r="877" spans="3:16">
      <c r="C877" s="1135"/>
      <c r="D877" s="1135"/>
      <c r="E877" s="1135"/>
      <c r="F877" s="1135"/>
      <c r="G877" s="1135"/>
      <c r="H877" s="1135"/>
      <c r="I877" s="1135"/>
      <c r="J877" s="1135"/>
      <c r="K877" s="1135"/>
      <c r="L877" s="1135"/>
      <c r="M877" s="1135"/>
      <c r="N877" s="1135"/>
      <c r="O877" s="1135"/>
      <c r="P877" s="1135"/>
    </row>
    <row r="878" spans="3:16">
      <c r="C878" s="1135"/>
      <c r="D878" s="1135"/>
      <c r="E878" s="1135"/>
      <c r="F878" s="1135"/>
      <c r="G878" s="1135"/>
      <c r="H878" s="1135"/>
      <c r="I878" s="1135"/>
      <c r="J878" s="1135"/>
      <c r="K878" s="1135"/>
      <c r="L878" s="1135"/>
      <c r="M878" s="1135"/>
      <c r="N878" s="1135"/>
      <c r="O878" s="1135"/>
      <c r="P878" s="1135"/>
    </row>
    <row r="879" spans="3:16">
      <c r="C879" s="1135"/>
      <c r="D879" s="1135"/>
      <c r="E879" s="1135"/>
      <c r="F879" s="1135"/>
      <c r="G879" s="1135"/>
      <c r="H879" s="1135"/>
      <c r="I879" s="1135"/>
      <c r="J879" s="1135"/>
      <c r="K879" s="1135"/>
      <c r="L879" s="1135"/>
      <c r="M879" s="1135"/>
      <c r="N879" s="1135"/>
      <c r="O879" s="1135"/>
      <c r="P879" s="1135"/>
    </row>
    <row r="880" spans="3:16">
      <c r="C880" s="1135"/>
      <c r="D880" s="1135"/>
      <c r="E880" s="1135"/>
      <c r="F880" s="1135"/>
      <c r="G880" s="1135"/>
      <c r="H880" s="1135"/>
      <c r="I880" s="1135"/>
      <c r="J880" s="1135"/>
      <c r="K880" s="1135"/>
      <c r="L880" s="1135"/>
      <c r="M880" s="1135"/>
      <c r="N880" s="1135"/>
      <c r="O880" s="1135"/>
      <c r="P880" s="1135"/>
    </row>
    <row r="881" spans="3:16">
      <c r="C881" s="1135"/>
      <c r="D881" s="1135"/>
      <c r="E881" s="1135"/>
      <c r="F881" s="1135"/>
      <c r="G881" s="1135"/>
      <c r="H881" s="1135"/>
      <c r="I881" s="1135"/>
      <c r="J881" s="1135"/>
      <c r="K881" s="1135"/>
      <c r="L881" s="1135"/>
      <c r="M881" s="1135"/>
      <c r="N881" s="1135"/>
      <c r="O881" s="1135"/>
      <c r="P881" s="1135"/>
    </row>
    <row r="882" spans="3:16">
      <c r="C882" s="1135"/>
      <c r="D882" s="1135"/>
      <c r="E882" s="1135"/>
      <c r="F882" s="1135"/>
      <c r="G882" s="1135"/>
      <c r="H882" s="1135"/>
      <c r="I882" s="1135"/>
      <c r="J882" s="1135"/>
      <c r="K882" s="1135"/>
      <c r="L882" s="1135"/>
      <c r="M882" s="1135"/>
      <c r="N882" s="1135"/>
      <c r="O882" s="1135"/>
      <c r="P882" s="1135"/>
    </row>
    <row r="883" spans="3:16">
      <c r="C883" s="1135"/>
      <c r="D883" s="1135"/>
      <c r="E883" s="1135"/>
      <c r="F883" s="1135"/>
      <c r="G883" s="1135"/>
      <c r="H883" s="1135"/>
      <c r="I883" s="1135"/>
      <c r="J883" s="1135"/>
      <c r="K883" s="1135"/>
      <c r="L883" s="1135"/>
      <c r="M883" s="1135"/>
      <c r="N883" s="1135"/>
      <c r="O883" s="1135"/>
      <c r="P883" s="1135"/>
    </row>
    <row r="884" spans="3:16">
      <c r="C884" s="1135"/>
      <c r="D884" s="1135"/>
      <c r="E884" s="1135"/>
      <c r="F884" s="1135"/>
      <c r="G884" s="1135"/>
      <c r="H884" s="1135"/>
      <c r="I884" s="1135"/>
      <c r="J884" s="1135"/>
      <c r="K884" s="1135"/>
      <c r="L884" s="1135"/>
      <c r="M884" s="1135"/>
      <c r="N884" s="1135"/>
      <c r="O884" s="1135"/>
      <c r="P884" s="1135"/>
    </row>
    <row r="885" spans="3:16">
      <c r="C885" s="1135"/>
      <c r="D885" s="1135"/>
      <c r="E885" s="1135"/>
      <c r="F885" s="1135"/>
      <c r="G885" s="1135"/>
      <c r="H885" s="1135"/>
      <c r="I885" s="1135"/>
      <c r="J885" s="1135"/>
      <c r="K885" s="1135"/>
      <c r="L885" s="1135"/>
      <c r="M885" s="1135"/>
      <c r="N885" s="1135"/>
      <c r="O885" s="1135"/>
      <c r="P885" s="1135"/>
    </row>
    <row r="886" spans="3:16">
      <c r="C886" s="1135"/>
      <c r="D886" s="1135"/>
      <c r="E886" s="1135"/>
      <c r="F886" s="1135"/>
      <c r="G886" s="1135"/>
      <c r="H886" s="1135"/>
      <c r="I886" s="1135"/>
      <c r="J886" s="1135"/>
      <c r="K886" s="1135"/>
      <c r="L886" s="1135"/>
      <c r="M886" s="1135"/>
      <c r="N886" s="1135"/>
      <c r="O886" s="1135"/>
      <c r="P886" s="1135"/>
    </row>
    <row r="887" spans="3:16">
      <c r="C887" s="1135"/>
      <c r="D887" s="1135"/>
      <c r="E887" s="1135"/>
      <c r="F887" s="1135"/>
      <c r="G887" s="1135"/>
      <c r="H887" s="1135"/>
      <c r="I887" s="1135"/>
      <c r="J887" s="1135"/>
      <c r="K887" s="1135"/>
      <c r="L887" s="1135"/>
      <c r="M887" s="1135"/>
      <c r="N887" s="1135"/>
      <c r="O887" s="1135"/>
      <c r="P887" s="1135"/>
    </row>
    <row r="888" spans="3:16">
      <c r="C888" s="1135"/>
      <c r="D888" s="1135"/>
      <c r="E888" s="1135"/>
      <c r="F888" s="1135"/>
      <c r="G888" s="1135"/>
      <c r="H888" s="1135"/>
      <c r="I888" s="1135"/>
      <c r="J888" s="1135"/>
      <c r="K888" s="1135"/>
      <c r="L888" s="1135"/>
      <c r="M888" s="1135"/>
      <c r="N888" s="1135"/>
      <c r="O888" s="1135"/>
      <c r="P888" s="1135"/>
    </row>
    <row r="889" spans="3:16">
      <c r="C889" s="1135"/>
      <c r="D889" s="1135"/>
      <c r="E889" s="1135"/>
      <c r="F889" s="1135"/>
      <c r="G889" s="1135"/>
      <c r="H889" s="1135"/>
      <c r="I889" s="1135"/>
      <c r="J889" s="1135"/>
      <c r="K889" s="1135"/>
      <c r="L889" s="1135"/>
      <c r="M889" s="1135"/>
      <c r="N889" s="1135"/>
      <c r="O889" s="1135"/>
      <c r="P889" s="1135"/>
    </row>
    <row r="890" spans="3:16">
      <c r="C890" s="1135"/>
      <c r="D890" s="1135"/>
      <c r="E890" s="1135"/>
      <c r="F890" s="1135"/>
      <c r="G890" s="1135"/>
      <c r="H890" s="1135"/>
      <c r="I890" s="1135"/>
      <c r="J890" s="1135"/>
      <c r="K890" s="1135"/>
      <c r="L890" s="1135"/>
      <c r="M890" s="1135"/>
      <c r="N890" s="1135"/>
      <c r="O890" s="1135"/>
      <c r="P890" s="1135"/>
    </row>
    <row r="891" spans="3:16">
      <c r="C891" s="1135"/>
      <c r="D891" s="1135"/>
      <c r="E891" s="1135"/>
      <c r="F891" s="1135"/>
      <c r="G891" s="1135"/>
      <c r="H891" s="1135"/>
      <c r="I891" s="1135"/>
      <c r="J891" s="1135"/>
      <c r="K891" s="1135"/>
      <c r="L891" s="1135"/>
      <c r="M891" s="1135"/>
      <c r="N891" s="1135"/>
      <c r="O891" s="1135"/>
      <c r="P891" s="1135"/>
    </row>
    <row r="892" spans="3:16">
      <c r="C892" s="1135"/>
      <c r="D892" s="1135"/>
      <c r="E892" s="1135"/>
      <c r="F892" s="1135"/>
      <c r="G892" s="1135"/>
      <c r="H892" s="1135"/>
      <c r="I892" s="1135"/>
      <c r="J892" s="1135"/>
      <c r="K892" s="1135"/>
      <c r="L892" s="1135"/>
      <c r="M892" s="1135"/>
      <c r="N892" s="1135"/>
      <c r="O892" s="1135"/>
      <c r="P892" s="1135"/>
    </row>
    <row r="893" spans="3:16">
      <c r="C893" s="1135"/>
      <c r="D893" s="1135"/>
      <c r="E893" s="1135"/>
      <c r="F893" s="1135"/>
      <c r="G893" s="1135"/>
      <c r="H893" s="1135"/>
      <c r="I893" s="1135"/>
      <c r="J893" s="1135"/>
      <c r="K893" s="1135"/>
      <c r="L893" s="1135"/>
      <c r="M893" s="1135"/>
      <c r="N893" s="1135"/>
      <c r="O893" s="1135"/>
      <c r="P893" s="1135"/>
    </row>
    <row r="894" spans="3:16">
      <c r="C894" s="1135"/>
      <c r="D894" s="1135"/>
      <c r="E894" s="1135"/>
      <c r="F894" s="1135"/>
      <c r="G894" s="1135"/>
      <c r="H894" s="1135"/>
      <c r="I894" s="1135"/>
      <c r="J894" s="1135"/>
      <c r="K894" s="1135"/>
      <c r="L894" s="1135"/>
      <c r="M894" s="1135"/>
      <c r="N894" s="1135"/>
      <c r="O894" s="1135"/>
      <c r="P894" s="1135"/>
    </row>
    <row r="895" spans="3:16">
      <c r="C895" s="1135"/>
      <c r="D895" s="1135"/>
      <c r="E895" s="1135"/>
      <c r="F895" s="1135"/>
      <c r="G895" s="1135"/>
      <c r="H895" s="1135"/>
      <c r="I895" s="1135"/>
      <c r="J895" s="1135"/>
      <c r="K895" s="1135"/>
      <c r="L895" s="1135"/>
      <c r="M895" s="1135"/>
      <c r="N895" s="1135"/>
      <c r="O895" s="1135"/>
      <c r="P895" s="1135"/>
    </row>
    <row r="896" spans="3:16">
      <c r="C896" s="1135"/>
      <c r="D896" s="1135"/>
      <c r="E896" s="1135"/>
      <c r="F896" s="1135"/>
      <c r="G896" s="1135"/>
      <c r="H896" s="1135"/>
      <c r="I896" s="1135"/>
      <c r="J896" s="1135"/>
      <c r="K896" s="1135"/>
      <c r="L896" s="1135"/>
      <c r="M896" s="1135"/>
      <c r="N896" s="1135"/>
      <c r="O896" s="1135"/>
      <c r="P896" s="1135"/>
    </row>
    <row r="897" spans="3:16">
      <c r="C897" s="1135"/>
      <c r="D897" s="1135"/>
      <c r="E897" s="1135"/>
      <c r="F897" s="1135"/>
      <c r="G897" s="1135"/>
      <c r="H897" s="1135"/>
      <c r="I897" s="1135"/>
      <c r="J897" s="1135"/>
      <c r="K897" s="1135"/>
      <c r="L897" s="1135"/>
      <c r="M897" s="1135"/>
      <c r="N897" s="1135"/>
      <c r="O897" s="1135"/>
      <c r="P897" s="1135"/>
    </row>
    <row r="898" spans="3:16">
      <c r="C898" s="1135"/>
      <c r="D898" s="1135"/>
      <c r="E898" s="1135"/>
      <c r="F898" s="1135"/>
      <c r="G898" s="1135"/>
      <c r="H898" s="1135"/>
      <c r="I898" s="1135"/>
      <c r="J898" s="1135"/>
      <c r="K898" s="1135"/>
      <c r="L898" s="1135"/>
      <c r="M898" s="1135"/>
      <c r="N898" s="1135"/>
      <c r="O898" s="1135"/>
      <c r="P898" s="1135"/>
    </row>
    <row r="899" spans="3:16">
      <c r="C899" s="1135"/>
      <c r="D899" s="1135"/>
      <c r="E899" s="1135"/>
      <c r="F899" s="1135"/>
      <c r="G899" s="1135"/>
      <c r="H899" s="1135"/>
      <c r="I899" s="1135"/>
      <c r="J899" s="1135"/>
      <c r="K899" s="1135"/>
      <c r="L899" s="1135"/>
      <c r="M899" s="1135"/>
      <c r="N899" s="1135"/>
      <c r="O899" s="1135"/>
      <c r="P899" s="1135"/>
    </row>
    <row r="900" spans="3:16">
      <c r="C900" s="1135"/>
      <c r="D900" s="1135"/>
      <c r="E900" s="1135"/>
      <c r="F900" s="1135"/>
      <c r="G900" s="1135"/>
      <c r="H900" s="1135"/>
      <c r="I900" s="1135"/>
      <c r="J900" s="1135"/>
      <c r="K900" s="1135"/>
      <c r="L900" s="1135"/>
      <c r="M900" s="1135"/>
      <c r="N900" s="1135"/>
      <c r="O900" s="1135"/>
      <c r="P900" s="1135"/>
    </row>
    <row r="901" spans="3:16">
      <c r="C901" s="1135"/>
      <c r="D901" s="1135"/>
      <c r="E901" s="1135"/>
      <c r="F901" s="1135"/>
      <c r="G901" s="1135"/>
      <c r="H901" s="1135"/>
      <c r="I901" s="1135"/>
      <c r="J901" s="1135"/>
      <c r="K901" s="1135"/>
      <c r="L901" s="1135"/>
      <c r="M901" s="1135"/>
      <c r="N901" s="1135"/>
      <c r="O901" s="1135"/>
      <c r="P901" s="1135"/>
    </row>
    <row r="902" spans="3:16">
      <c r="C902" s="1135"/>
      <c r="D902" s="1135"/>
      <c r="E902" s="1135"/>
      <c r="F902" s="1135"/>
      <c r="G902" s="1135"/>
      <c r="H902" s="1135"/>
      <c r="I902" s="1135"/>
      <c r="J902" s="1135"/>
      <c r="K902" s="1135"/>
      <c r="L902" s="1135"/>
      <c r="M902" s="1135"/>
      <c r="N902" s="1135"/>
      <c r="O902" s="1135"/>
      <c r="P902" s="1135"/>
    </row>
    <row r="903" spans="3:16">
      <c r="C903" s="1135"/>
      <c r="D903" s="1135"/>
      <c r="E903" s="1135"/>
      <c r="F903" s="1135"/>
      <c r="G903" s="1135"/>
      <c r="H903" s="1135"/>
      <c r="I903" s="1135"/>
      <c r="J903" s="1135"/>
      <c r="K903" s="1135"/>
      <c r="L903" s="1135"/>
      <c r="M903" s="1135"/>
      <c r="N903" s="1135"/>
      <c r="O903" s="1135"/>
      <c r="P903" s="1135"/>
    </row>
    <row r="904" spans="3:16">
      <c r="C904" s="1135"/>
      <c r="D904" s="1135"/>
      <c r="E904" s="1135"/>
      <c r="F904" s="1135"/>
      <c r="G904" s="1135"/>
      <c r="H904" s="1135"/>
      <c r="I904" s="1135"/>
      <c r="J904" s="1135"/>
      <c r="K904" s="1135"/>
      <c r="L904" s="1135"/>
      <c r="M904" s="1135"/>
      <c r="N904" s="1135"/>
      <c r="O904" s="1135"/>
      <c r="P904" s="1135"/>
    </row>
    <row r="905" spans="3:16">
      <c r="C905" s="1135"/>
      <c r="D905" s="1135"/>
      <c r="E905" s="1135"/>
      <c r="F905" s="1135"/>
      <c r="G905" s="1135"/>
      <c r="H905" s="1135"/>
      <c r="I905" s="1135"/>
      <c r="J905" s="1135"/>
      <c r="K905" s="1135"/>
      <c r="L905" s="1135"/>
      <c r="M905" s="1135"/>
      <c r="N905" s="1135"/>
      <c r="O905" s="1135"/>
      <c r="P905" s="1135"/>
    </row>
    <row r="906" spans="3:16">
      <c r="C906" s="1135"/>
      <c r="D906" s="1135"/>
      <c r="E906" s="1135"/>
      <c r="F906" s="1135"/>
      <c r="G906" s="1135"/>
      <c r="H906" s="1135"/>
      <c r="I906" s="1135"/>
      <c r="J906" s="1135"/>
      <c r="K906" s="1135"/>
      <c r="L906" s="1135"/>
      <c r="M906" s="1135"/>
      <c r="N906" s="1135"/>
      <c r="O906" s="1135"/>
      <c r="P906" s="1135"/>
    </row>
    <row r="907" spans="3:16">
      <c r="C907" s="1135"/>
      <c r="D907" s="1135"/>
      <c r="E907" s="1135"/>
      <c r="F907" s="1135"/>
      <c r="G907" s="1135"/>
      <c r="H907" s="1135"/>
      <c r="I907" s="1135"/>
      <c r="J907" s="1135"/>
      <c r="K907" s="1135"/>
      <c r="L907" s="1135"/>
      <c r="M907" s="1135"/>
      <c r="N907" s="1135"/>
      <c r="O907" s="1135"/>
      <c r="P907" s="1135"/>
    </row>
    <row r="908" spans="3:16">
      <c r="C908" s="1135"/>
      <c r="D908" s="1135"/>
      <c r="E908" s="1135"/>
      <c r="F908" s="1135"/>
      <c r="G908" s="1135"/>
      <c r="H908" s="1135"/>
      <c r="I908" s="1135"/>
      <c r="J908" s="1135"/>
      <c r="K908" s="1135"/>
      <c r="L908" s="1135"/>
      <c r="M908" s="1135"/>
      <c r="N908" s="1135"/>
      <c r="O908" s="1135"/>
      <c r="P908" s="1135"/>
    </row>
    <row r="909" spans="3:16">
      <c r="C909" s="1135"/>
      <c r="D909" s="1135"/>
      <c r="E909" s="1135"/>
      <c r="F909" s="1135"/>
      <c r="G909" s="1135"/>
      <c r="H909" s="1135"/>
      <c r="I909" s="1135"/>
      <c r="J909" s="1135"/>
      <c r="K909" s="1135"/>
      <c r="L909" s="1135"/>
      <c r="M909" s="1135"/>
      <c r="N909" s="1135"/>
      <c r="O909" s="1135"/>
      <c r="P909" s="1135"/>
    </row>
    <row r="910" spans="3:16">
      <c r="C910" s="1135"/>
      <c r="D910" s="1135"/>
      <c r="E910" s="1135"/>
      <c r="F910" s="1135"/>
      <c r="G910" s="1135"/>
      <c r="H910" s="1135"/>
      <c r="I910" s="1135"/>
      <c r="J910" s="1135"/>
      <c r="K910" s="1135"/>
      <c r="L910" s="1135"/>
      <c r="M910" s="1135"/>
      <c r="N910" s="1135"/>
      <c r="O910" s="1135"/>
      <c r="P910" s="1135"/>
    </row>
    <row r="911" spans="3:16">
      <c r="C911" s="1135"/>
      <c r="D911" s="1135"/>
      <c r="E911" s="1135"/>
      <c r="F911" s="1135"/>
      <c r="G911" s="1135"/>
      <c r="H911" s="1135"/>
      <c r="I911" s="1135"/>
      <c r="J911" s="1135"/>
      <c r="K911" s="1135"/>
      <c r="L911" s="1135"/>
      <c r="M911" s="1135"/>
      <c r="N911" s="1135"/>
      <c r="O911" s="1135"/>
      <c r="P911" s="1135"/>
    </row>
    <row r="912" spans="3:16">
      <c r="C912" s="1135"/>
      <c r="D912" s="1135"/>
      <c r="E912" s="1135"/>
      <c r="F912" s="1135"/>
      <c r="G912" s="1135"/>
      <c r="H912" s="1135"/>
      <c r="I912" s="1135"/>
      <c r="J912" s="1135"/>
      <c r="K912" s="1135"/>
      <c r="L912" s="1135"/>
      <c r="M912" s="1135"/>
      <c r="N912" s="1135"/>
      <c r="O912" s="1135"/>
      <c r="P912" s="1135"/>
    </row>
    <row r="913" spans="3:16">
      <c r="C913" s="1135"/>
      <c r="D913" s="1135"/>
      <c r="E913" s="1135"/>
      <c r="F913" s="1135"/>
      <c r="G913" s="1135"/>
      <c r="H913" s="1135"/>
      <c r="I913" s="1135"/>
      <c r="J913" s="1135"/>
      <c r="K913" s="1135"/>
      <c r="L913" s="1135"/>
      <c r="M913" s="1135"/>
      <c r="N913" s="1135"/>
      <c r="O913" s="1135"/>
      <c r="P913" s="1135"/>
    </row>
    <row r="914" spans="3:16">
      <c r="C914" s="1135"/>
      <c r="D914" s="1135"/>
      <c r="E914" s="1135"/>
      <c r="F914" s="1135"/>
      <c r="G914" s="1135"/>
      <c r="H914" s="1135"/>
      <c r="I914" s="1135"/>
      <c r="J914" s="1135"/>
      <c r="K914" s="1135"/>
      <c r="L914" s="1135"/>
      <c r="M914" s="1135"/>
      <c r="N914" s="1135"/>
      <c r="O914" s="1135"/>
      <c r="P914" s="1135"/>
    </row>
    <row r="915" spans="3:16">
      <c r="C915" s="1135"/>
      <c r="D915" s="1135"/>
      <c r="E915" s="1135"/>
      <c r="F915" s="1135"/>
      <c r="G915" s="1135"/>
      <c r="H915" s="1135"/>
      <c r="I915" s="1135"/>
      <c r="J915" s="1135"/>
      <c r="K915" s="1135"/>
      <c r="L915" s="1135"/>
      <c r="M915" s="1135"/>
      <c r="N915" s="1135"/>
      <c r="O915" s="1135"/>
      <c r="P915" s="1135"/>
    </row>
    <row r="916" spans="3:16">
      <c r="C916" s="1135"/>
      <c r="D916" s="1135"/>
      <c r="E916" s="1135"/>
      <c r="F916" s="1135"/>
      <c r="G916" s="1135"/>
      <c r="H916" s="1135"/>
      <c r="I916" s="1135"/>
      <c r="J916" s="1135"/>
      <c r="K916" s="1135"/>
      <c r="L916" s="1135"/>
      <c r="M916" s="1135"/>
      <c r="N916" s="1135"/>
      <c r="O916" s="1135"/>
      <c r="P916" s="1135"/>
    </row>
    <row r="917" spans="3:16">
      <c r="C917" s="1135"/>
      <c r="D917" s="1135"/>
      <c r="E917" s="1135"/>
      <c r="F917" s="1135"/>
      <c r="G917" s="1135"/>
      <c r="H917" s="1135"/>
      <c r="I917" s="1135"/>
      <c r="J917" s="1135"/>
      <c r="K917" s="1135"/>
      <c r="L917" s="1135"/>
      <c r="M917" s="1135"/>
      <c r="N917" s="1135"/>
      <c r="O917" s="1135"/>
      <c r="P917" s="1135"/>
    </row>
    <row r="918" spans="3:16">
      <c r="C918" s="1135"/>
      <c r="D918" s="1135"/>
      <c r="E918" s="1135"/>
      <c r="F918" s="1135"/>
      <c r="G918" s="1135"/>
      <c r="H918" s="1135"/>
      <c r="I918" s="1135"/>
      <c r="J918" s="1135"/>
      <c r="K918" s="1135"/>
      <c r="L918" s="1135"/>
      <c r="M918" s="1135"/>
      <c r="N918" s="1135"/>
      <c r="O918" s="1135"/>
      <c r="P918" s="1135"/>
    </row>
    <row r="919" spans="3:16">
      <c r="C919" s="1135"/>
      <c r="D919" s="1135"/>
      <c r="E919" s="1135"/>
      <c r="F919" s="1135"/>
      <c r="G919" s="1135"/>
      <c r="H919" s="1135"/>
      <c r="I919" s="1135"/>
      <c r="J919" s="1135"/>
      <c r="K919" s="1135"/>
      <c r="L919" s="1135"/>
      <c r="M919" s="1135"/>
      <c r="N919" s="1135"/>
      <c r="O919" s="1135"/>
      <c r="P919" s="1135"/>
    </row>
    <row r="920" spans="3:16">
      <c r="C920" s="1135"/>
      <c r="D920" s="1135"/>
      <c r="E920" s="1135"/>
      <c r="F920" s="1135"/>
      <c r="G920" s="1135"/>
      <c r="H920" s="1135"/>
      <c r="I920" s="1135"/>
      <c r="J920" s="1135"/>
      <c r="K920" s="1135"/>
      <c r="L920" s="1135"/>
      <c r="M920" s="1135"/>
      <c r="N920" s="1135"/>
      <c r="O920" s="1135"/>
      <c r="P920" s="1135"/>
    </row>
    <row r="921" spans="3:16">
      <c r="C921" s="1135"/>
      <c r="D921" s="1135"/>
      <c r="E921" s="1135"/>
      <c r="F921" s="1135"/>
      <c r="G921" s="1135"/>
      <c r="H921" s="1135"/>
      <c r="I921" s="1135"/>
      <c r="J921" s="1135"/>
      <c r="K921" s="1135"/>
      <c r="L921" s="1135"/>
      <c r="M921" s="1135"/>
      <c r="N921" s="1135"/>
      <c r="O921" s="1135"/>
      <c r="P921" s="1135"/>
    </row>
    <row r="922" spans="3:16">
      <c r="C922" s="1135"/>
      <c r="D922" s="1135"/>
      <c r="E922" s="1135"/>
      <c r="F922" s="1135"/>
      <c r="G922" s="1135"/>
      <c r="H922" s="1135"/>
      <c r="I922" s="1135"/>
      <c r="J922" s="1135"/>
      <c r="K922" s="1135"/>
      <c r="L922" s="1135"/>
      <c r="M922" s="1135"/>
      <c r="N922" s="1135"/>
      <c r="O922" s="1135"/>
      <c r="P922" s="1135"/>
    </row>
    <row r="923" spans="3:16">
      <c r="C923" s="1135"/>
      <c r="D923" s="1135"/>
      <c r="E923" s="1135"/>
      <c r="F923" s="1135"/>
      <c r="G923" s="1135"/>
      <c r="H923" s="1135"/>
      <c r="I923" s="1135"/>
      <c r="J923" s="1135"/>
      <c r="K923" s="1135"/>
      <c r="L923" s="1135"/>
      <c r="M923" s="1135"/>
      <c r="N923" s="1135"/>
      <c r="O923" s="1135"/>
      <c r="P923" s="1135"/>
    </row>
    <row r="924" spans="3:16">
      <c r="C924" s="1135"/>
      <c r="D924" s="1135"/>
      <c r="E924" s="1135"/>
      <c r="F924" s="1135"/>
      <c r="G924" s="1135"/>
      <c r="H924" s="1135"/>
      <c r="I924" s="1135"/>
      <c r="J924" s="1135"/>
      <c r="K924" s="1135"/>
      <c r="L924" s="1135"/>
      <c r="M924" s="1135"/>
      <c r="N924" s="1135"/>
      <c r="O924" s="1135"/>
      <c r="P924" s="1135"/>
    </row>
    <row r="925" spans="3:16">
      <c r="C925" s="1135"/>
      <c r="D925" s="1135"/>
      <c r="E925" s="1135"/>
      <c r="F925" s="1135"/>
      <c r="G925" s="1135"/>
      <c r="H925" s="1135"/>
      <c r="I925" s="1135"/>
      <c r="J925" s="1135"/>
      <c r="K925" s="1135"/>
      <c r="L925" s="1135"/>
      <c r="M925" s="1135"/>
      <c r="N925" s="1135"/>
      <c r="O925" s="1135"/>
      <c r="P925" s="1135"/>
    </row>
    <row r="926" spans="3:16">
      <c r="C926" s="1135"/>
      <c r="D926" s="1135"/>
      <c r="E926" s="1135"/>
      <c r="F926" s="1135"/>
      <c r="G926" s="1135"/>
      <c r="H926" s="1135"/>
      <c r="I926" s="1135"/>
      <c r="J926" s="1135"/>
      <c r="K926" s="1135"/>
      <c r="L926" s="1135"/>
      <c r="M926" s="1135"/>
      <c r="N926" s="1135"/>
      <c r="O926" s="1135"/>
      <c r="P926" s="1135"/>
    </row>
    <row r="927" spans="3:16">
      <c r="C927" s="1135"/>
      <c r="D927" s="1135"/>
      <c r="E927" s="1135"/>
      <c r="F927" s="1135"/>
      <c r="G927" s="1135"/>
      <c r="H927" s="1135"/>
      <c r="I927" s="1135"/>
      <c r="J927" s="1135"/>
      <c r="K927" s="1135"/>
      <c r="L927" s="1135"/>
      <c r="M927" s="1135"/>
      <c r="N927" s="1135"/>
      <c r="O927" s="1135"/>
      <c r="P927" s="1135"/>
    </row>
    <row r="928" spans="3:16">
      <c r="C928" s="1135"/>
      <c r="D928" s="1135"/>
      <c r="E928" s="1135"/>
      <c r="F928" s="1135"/>
      <c r="G928" s="1135"/>
      <c r="H928" s="1135"/>
      <c r="I928" s="1135"/>
      <c r="J928" s="1135"/>
      <c r="K928" s="1135"/>
      <c r="L928" s="1135"/>
      <c r="M928" s="1135"/>
      <c r="N928" s="1135"/>
      <c r="O928" s="1135"/>
      <c r="P928" s="1135"/>
    </row>
    <row r="929" spans="3:16">
      <c r="C929" s="1135"/>
      <c r="D929" s="1135"/>
      <c r="E929" s="1135"/>
      <c r="F929" s="1135"/>
      <c r="G929" s="1135"/>
      <c r="H929" s="1135"/>
      <c r="I929" s="1135"/>
      <c r="J929" s="1135"/>
      <c r="K929" s="1135"/>
      <c r="L929" s="1135"/>
      <c r="M929" s="1135"/>
      <c r="N929" s="1135"/>
      <c r="O929" s="1135"/>
      <c r="P929" s="1135"/>
    </row>
    <row r="930" spans="3:16">
      <c r="C930" s="1135"/>
      <c r="D930" s="1135"/>
      <c r="E930" s="1135"/>
      <c r="F930" s="1135"/>
      <c r="G930" s="1135"/>
      <c r="H930" s="1135"/>
      <c r="I930" s="1135"/>
      <c r="J930" s="1135"/>
      <c r="K930" s="1135"/>
      <c r="L930" s="1135"/>
      <c r="M930" s="1135"/>
      <c r="N930" s="1135"/>
      <c r="O930" s="1135"/>
      <c r="P930" s="1135"/>
    </row>
    <row r="931" spans="3:16">
      <c r="C931" s="1135"/>
      <c r="D931" s="1135"/>
      <c r="E931" s="1135"/>
      <c r="F931" s="1135"/>
      <c r="G931" s="1135"/>
      <c r="H931" s="1135"/>
      <c r="I931" s="1135"/>
      <c r="J931" s="1135"/>
      <c r="K931" s="1135"/>
      <c r="L931" s="1135"/>
      <c r="M931" s="1135"/>
      <c r="N931" s="1135"/>
      <c r="O931" s="1135"/>
      <c r="P931" s="1135"/>
    </row>
    <row r="932" spans="3:16">
      <c r="C932" s="1135"/>
      <c r="D932" s="1135"/>
      <c r="E932" s="1135"/>
      <c r="F932" s="1135"/>
      <c r="G932" s="1135"/>
      <c r="H932" s="1135"/>
      <c r="I932" s="1135"/>
      <c r="J932" s="1135"/>
      <c r="K932" s="1135"/>
      <c r="L932" s="1135"/>
      <c r="M932" s="1135"/>
      <c r="N932" s="1135"/>
      <c r="O932" s="1135"/>
      <c r="P932" s="1135"/>
    </row>
    <row r="933" spans="3:16">
      <c r="C933" s="1135"/>
      <c r="D933" s="1135"/>
      <c r="E933" s="1135"/>
      <c r="F933" s="1135"/>
      <c r="G933" s="1135"/>
      <c r="H933" s="1135"/>
      <c r="I933" s="1135"/>
      <c r="J933" s="1135"/>
      <c r="K933" s="1135"/>
      <c r="L933" s="1135"/>
      <c r="M933" s="1135"/>
      <c r="N933" s="1135"/>
      <c r="O933" s="1135"/>
      <c r="P933" s="1135"/>
    </row>
    <row r="934" spans="3:16">
      <c r="C934" s="1135"/>
      <c r="D934" s="1135"/>
      <c r="E934" s="1135"/>
      <c r="F934" s="1135"/>
      <c r="G934" s="1135"/>
      <c r="H934" s="1135"/>
      <c r="I934" s="1135"/>
      <c r="J934" s="1135"/>
      <c r="K934" s="1135"/>
      <c r="L934" s="1135"/>
      <c r="M934" s="1135"/>
      <c r="N934" s="1135"/>
      <c r="O934" s="1135"/>
      <c r="P934" s="1135"/>
    </row>
    <row r="935" spans="3:16">
      <c r="C935" s="1135"/>
      <c r="D935" s="1135"/>
      <c r="E935" s="1135"/>
      <c r="F935" s="1135"/>
      <c r="G935" s="1135"/>
      <c r="H935" s="1135"/>
      <c r="I935" s="1135"/>
      <c r="J935" s="1135"/>
      <c r="K935" s="1135"/>
      <c r="L935" s="1135"/>
      <c r="M935" s="1135"/>
      <c r="N935" s="1135"/>
      <c r="O935" s="1135"/>
      <c r="P935" s="1135"/>
    </row>
    <row r="936" spans="3:16">
      <c r="C936" s="1135"/>
      <c r="D936" s="1135"/>
      <c r="E936" s="1135"/>
      <c r="F936" s="1135"/>
      <c r="G936" s="1135"/>
      <c r="H936" s="1135"/>
      <c r="I936" s="1135"/>
      <c r="J936" s="1135"/>
      <c r="K936" s="1135"/>
      <c r="L936" s="1135"/>
      <c r="M936" s="1135"/>
      <c r="N936" s="1135"/>
      <c r="O936" s="1135"/>
      <c r="P936" s="1135"/>
    </row>
    <row r="937" spans="3:16">
      <c r="C937" s="1135"/>
      <c r="D937" s="1135"/>
      <c r="E937" s="1135"/>
      <c r="F937" s="1135"/>
      <c r="G937" s="1135"/>
      <c r="H937" s="1135"/>
      <c r="I937" s="1135"/>
      <c r="J937" s="1135"/>
      <c r="K937" s="1135"/>
      <c r="L937" s="1135"/>
      <c r="M937" s="1135"/>
      <c r="N937" s="1135"/>
      <c r="O937" s="1135"/>
      <c r="P937" s="1135"/>
    </row>
    <row r="938" spans="3:16">
      <c r="C938" s="1135"/>
      <c r="D938" s="1135"/>
      <c r="E938" s="1135"/>
      <c r="F938" s="1135"/>
      <c r="G938" s="1135"/>
      <c r="H938" s="1135"/>
      <c r="I938" s="1135"/>
      <c r="J938" s="1135"/>
      <c r="K938" s="1135"/>
      <c r="L938" s="1135"/>
      <c r="M938" s="1135"/>
      <c r="N938" s="1135"/>
      <c r="O938" s="1135"/>
      <c r="P938" s="1135"/>
    </row>
    <row r="939" spans="3:16">
      <c r="C939" s="1135"/>
      <c r="D939" s="1135"/>
      <c r="E939" s="1135"/>
      <c r="F939" s="1135"/>
      <c r="G939" s="1135"/>
      <c r="H939" s="1135"/>
      <c r="I939" s="1135"/>
      <c r="J939" s="1135"/>
      <c r="K939" s="1135"/>
      <c r="L939" s="1135"/>
      <c r="M939" s="1135"/>
      <c r="N939" s="1135"/>
      <c r="O939" s="1135"/>
      <c r="P939" s="1135"/>
    </row>
    <row r="940" spans="3:16">
      <c r="C940" s="1135"/>
      <c r="D940" s="1135"/>
      <c r="E940" s="1135"/>
      <c r="F940" s="1135"/>
      <c r="G940" s="1135"/>
      <c r="H940" s="1135"/>
      <c r="I940" s="1135"/>
      <c r="J940" s="1135"/>
      <c r="K940" s="1135"/>
      <c r="L940" s="1135"/>
      <c r="M940" s="1135"/>
      <c r="N940" s="1135"/>
      <c r="O940" s="1135"/>
      <c r="P940" s="1135"/>
    </row>
    <row r="941" spans="3:16">
      <c r="C941" s="1135"/>
      <c r="D941" s="1135"/>
      <c r="E941" s="1135"/>
      <c r="F941" s="1135"/>
      <c r="G941" s="1135"/>
      <c r="H941" s="1135"/>
      <c r="I941" s="1135"/>
      <c r="J941" s="1135"/>
      <c r="K941" s="1135"/>
      <c r="L941" s="1135"/>
      <c r="M941" s="1135"/>
      <c r="N941" s="1135"/>
      <c r="O941" s="1135"/>
      <c r="P941" s="1135"/>
    </row>
    <row r="942" spans="3:16">
      <c r="C942" s="1135"/>
      <c r="D942" s="1135"/>
      <c r="E942" s="1135"/>
      <c r="F942" s="1135"/>
      <c r="G942" s="1135"/>
      <c r="H942" s="1135"/>
      <c r="I942" s="1135"/>
      <c r="J942" s="1135"/>
      <c r="K942" s="1135"/>
      <c r="L942" s="1135"/>
      <c r="M942" s="1135"/>
      <c r="N942" s="1135"/>
      <c r="O942" s="1135"/>
      <c r="P942" s="1135"/>
    </row>
    <row r="943" spans="3:16">
      <c r="C943" s="1135"/>
      <c r="D943" s="1135"/>
      <c r="E943" s="1135"/>
      <c r="F943" s="1135"/>
      <c r="G943" s="1135"/>
      <c r="H943" s="1135"/>
      <c r="I943" s="1135"/>
      <c r="J943" s="1135"/>
      <c r="K943" s="1135"/>
      <c r="L943" s="1135"/>
      <c r="M943" s="1135"/>
      <c r="N943" s="1135"/>
      <c r="O943" s="1135"/>
      <c r="P943" s="1135"/>
    </row>
    <row r="944" spans="3:16">
      <c r="C944" s="1135"/>
      <c r="D944" s="1135"/>
      <c r="E944" s="1135"/>
      <c r="F944" s="1135"/>
      <c r="G944" s="1135"/>
      <c r="H944" s="1135"/>
      <c r="I944" s="1135"/>
      <c r="J944" s="1135"/>
      <c r="K944" s="1135"/>
      <c r="L944" s="1135"/>
      <c r="M944" s="1135"/>
      <c r="N944" s="1135"/>
      <c r="O944" s="1135"/>
      <c r="P944" s="1135"/>
    </row>
    <row r="945" spans="3:16">
      <c r="C945" s="1135"/>
      <c r="D945" s="1135"/>
      <c r="E945" s="1135"/>
      <c r="F945" s="1135"/>
      <c r="G945" s="1135"/>
      <c r="H945" s="1135"/>
      <c r="I945" s="1135"/>
      <c r="J945" s="1135"/>
      <c r="K945" s="1135"/>
      <c r="L945" s="1135"/>
      <c r="M945" s="1135"/>
      <c r="N945" s="1135"/>
      <c r="O945" s="1135"/>
      <c r="P945" s="1135"/>
    </row>
    <row r="946" spans="3:16">
      <c r="C946" s="1135"/>
      <c r="D946" s="1135"/>
      <c r="E946" s="1135"/>
      <c r="F946" s="1135"/>
      <c r="G946" s="1135"/>
      <c r="H946" s="1135"/>
      <c r="I946" s="1135"/>
      <c r="J946" s="1135"/>
      <c r="K946" s="1135"/>
      <c r="L946" s="1135"/>
      <c r="M946" s="1135"/>
      <c r="N946" s="1135"/>
      <c r="O946" s="1135"/>
      <c r="P946" s="1135"/>
    </row>
    <row r="947" spans="3:16">
      <c r="C947" s="1135"/>
      <c r="D947" s="1135"/>
      <c r="E947" s="1135"/>
      <c r="F947" s="1135"/>
      <c r="G947" s="1135"/>
      <c r="H947" s="1135"/>
      <c r="I947" s="1135"/>
      <c r="J947" s="1135"/>
      <c r="K947" s="1135"/>
      <c r="L947" s="1135"/>
      <c r="M947" s="1135"/>
      <c r="N947" s="1135"/>
      <c r="O947" s="1135"/>
      <c r="P947" s="1135"/>
    </row>
    <row r="948" spans="3:16">
      <c r="C948" s="1135"/>
      <c r="D948" s="1135"/>
      <c r="E948" s="1135"/>
      <c r="F948" s="1135"/>
      <c r="G948" s="1135"/>
      <c r="H948" s="1135"/>
      <c r="I948" s="1135"/>
      <c r="J948" s="1135"/>
      <c r="K948" s="1135"/>
      <c r="L948" s="1135"/>
      <c r="M948" s="1135"/>
      <c r="N948" s="1135"/>
      <c r="O948" s="1135"/>
      <c r="P948" s="1135"/>
    </row>
    <row r="949" spans="3:16">
      <c r="C949" s="1135"/>
      <c r="D949" s="1135"/>
      <c r="E949" s="1135"/>
      <c r="F949" s="1135"/>
      <c r="G949" s="1135"/>
      <c r="H949" s="1135"/>
      <c r="I949" s="1135"/>
      <c r="J949" s="1135"/>
      <c r="K949" s="1135"/>
      <c r="L949" s="1135"/>
      <c r="M949" s="1135"/>
      <c r="N949" s="1135"/>
      <c r="O949" s="1135"/>
      <c r="P949" s="1135"/>
    </row>
    <row r="950" spans="3:16">
      <c r="C950" s="1135"/>
      <c r="D950" s="1135"/>
      <c r="E950" s="1135"/>
      <c r="F950" s="1135"/>
      <c r="G950" s="1135"/>
      <c r="H950" s="1135"/>
      <c r="I950" s="1135"/>
      <c r="J950" s="1135"/>
      <c r="K950" s="1135"/>
      <c r="L950" s="1135"/>
      <c r="M950" s="1135"/>
      <c r="N950" s="1135"/>
      <c r="O950" s="1135"/>
      <c r="P950" s="1135"/>
    </row>
    <row r="951" spans="3:16">
      <c r="C951" s="1135"/>
      <c r="D951" s="1135"/>
      <c r="E951" s="1135"/>
      <c r="F951" s="1135"/>
      <c r="G951" s="1135"/>
      <c r="H951" s="1135"/>
      <c r="I951" s="1135"/>
      <c r="J951" s="1135"/>
      <c r="K951" s="1135"/>
      <c r="L951" s="1135"/>
      <c r="M951" s="1135"/>
      <c r="N951" s="1135"/>
      <c r="O951" s="1135"/>
      <c r="P951" s="1135"/>
    </row>
    <row r="952" spans="3:16">
      <c r="C952" s="1135"/>
      <c r="D952" s="1135"/>
      <c r="E952" s="1135"/>
      <c r="F952" s="1135"/>
      <c r="G952" s="1135"/>
      <c r="H952" s="1135"/>
      <c r="I952" s="1135"/>
      <c r="J952" s="1135"/>
      <c r="K952" s="1135"/>
      <c r="L952" s="1135"/>
      <c r="M952" s="1135"/>
      <c r="N952" s="1135"/>
      <c r="O952" s="1135"/>
      <c r="P952" s="1135"/>
    </row>
    <row r="953" spans="3:16">
      <c r="C953" s="1135"/>
      <c r="D953" s="1135"/>
      <c r="E953" s="1135"/>
      <c r="F953" s="1135"/>
      <c r="G953" s="1135"/>
      <c r="H953" s="1135"/>
      <c r="I953" s="1135"/>
      <c r="J953" s="1135"/>
      <c r="K953" s="1135"/>
      <c r="L953" s="1135"/>
      <c r="M953" s="1135"/>
      <c r="N953" s="1135"/>
      <c r="O953" s="1135"/>
      <c r="P953" s="1135"/>
    </row>
    <row r="954" spans="3:16">
      <c r="C954" s="1135"/>
      <c r="D954" s="1135"/>
      <c r="E954" s="1135"/>
      <c r="F954" s="1135"/>
      <c r="G954" s="1135"/>
      <c r="H954" s="1135"/>
      <c r="I954" s="1135"/>
      <c r="J954" s="1135"/>
      <c r="K954" s="1135"/>
      <c r="L954" s="1135"/>
      <c r="M954" s="1135"/>
      <c r="N954" s="1135"/>
      <c r="O954" s="1135"/>
      <c r="P954" s="1135"/>
    </row>
    <row r="955" spans="3:16">
      <c r="C955" s="1135"/>
      <c r="D955" s="1135"/>
      <c r="E955" s="1135"/>
      <c r="F955" s="1135"/>
      <c r="G955" s="1135"/>
      <c r="H955" s="1135"/>
      <c r="I955" s="1135"/>
      <c r="J955" s="1135"/>
      <c r="K955" s="1135"/>
      <c r="L955" s="1135"/>
      <c r="M955" s="1135"/>
      <c r="N955" s="1135"/>
      <c r="O955" s="1135"/>
      <c r="P955" s="1135"/>
    </row>
    <row r="956" spans="3:16">
      <c r="C956" s="1135"/>
      <c r="D956" s="1135"/>
      <c r="E956" s="1135"/>
      <c r="F956" s="1135"/>
      <c r="G956" s="1135"/>
      <c r="H956" s="1135"/>
      <c r="I956" s="1135"/>
      <c r="J956" s="1135"/>
      <c r="K956" s="1135"/>
      <c r="L956" s="1135"/>
      <c r="M956" s="1135"/>
      <c r="N956" s="1135"/>
      <c r="O956" s="1135"/>
      <c r="P956" s="1135"/>
    </row>
    <row r="957" spans="3:16">
      <c r="C957" s="1135"/>
      <c r="D957" s="1135"/>
      <c r="E957" s="1135"/>
      <c r="F957" s="1135"/>
      <c r="G957" s="1135"/>
      <c r="H957" s="1135"/>
      <c r="I957" s="1135"/>
      <c r="J957" s="1135"/>
      <c r="K957" s="1135"/>
      <c r="L957" s="1135"/>
      <c r="M957" s="1135"/>
      <c r="N957" s="1135"/>
      <c r="O957" s="1135"/>
      <c r="P957" s="1135"/>
    </row>
    <row r="958" spans="3:16">
      <c r="C958" s="1135"/>
      <c r="D958" s="1135"/>
      <c r="E958" s="1135"/>
      <c r="F958" s="1135"/>
      <c r="G958" s="1135"/>
      <c r="H958" s="1135"/>
      <c r="I958" s="1135"/>
      <c r="J958" s="1135"/>
      <c r="K958" s="1135"/>
      <c r="L958" s="1135"/>
      <c r="M958" s="1135"/>
      <c r="N958" s="1135"/>
      <c r="O958" s="1135"/>
      <c r="P958" s="1135"/>
    </row>
    <row r="959" spans="3:16">
      <c r="C959" s="1135"/>
      <c r="D959" s="1135"/>
      <c r="E959" s="1135"/>
      <c r="F959" s="1135"/>
      <c r="G959" s="1135"/>
      <c r="H959" s="1135"/>
      <c r="I959" s="1135"/>
      <c r="J959" s="1135"/>
      <c r="K959" s="1135"/>
      <c r="L959" s="1135"/>
      <c r="M959" s="1135"/>
      <c r="N959" s="1135"/>
      <c r="O959" s="1135"/>
      <c r="P959" s="1135"/>
    </row>
    <row r="960" spans="3:16">
      <c r="C960" s="1135"/>
      <c r="D960" s="1135"/>
      <c r="E960" s="1135"/>
      <c r="F960" s="1135"/>
      <c r="G960" s="1135"/>
      <c r="H960" s="1135"/>
      <c r="I960" s="1135"/>
      <c r="J960" s="1135"/>
      <c r="K960" s="1135"/>
      <c r="L960" s="1135"/>
      <c r="M960" s="1135"/>
      <c r="N960" s="1135"/>
      <c r="O960" s="1135"/>
      <c r="P960" s="1135"/>
    </row>
    <row r="961" spans="3:16">
      <c r="C961" s="1135"/>
      <c r="D961" s="1135"/>
      <c r="E961" s="1135"/>
      <c r="F961" s="1135"/>
      <c r="G961" s="1135"/>
      <c r="H961" s="1135"/>
      <c r="I961" s="1135"/>
      <c r="J961" s="1135"/>
      <c r="K961" s="1135"/>
      <c r="L961" s="1135"/>
      <c r="M961" s="1135"/>
      <c r="N961" s="1135"/>
      <c r="O961" s="1135"/>
      <c r="P961" s="1135"/>
    </row>
    <row r="962" spans="3:16">
      <c r="C962" s="1135"/>
      <c r="D962" s="1135"/>
      <c r="E962" s="1135"/>
      <c r="F962" s="1135"/>
      <c r="G962" s="1135"/>
      <c r="H962" s="1135"/>
      <c r="I962" s="1135"/>
      <c r="J962" s="1135"/>
      <c r="K962" s="1135"/>
      <c r="L962" s="1135"/>
      <c r="M962" s="1135"/>
      <c r="N962" s="1135"/>
      <c r="O962" s="1135"/>
      <c r="P962" s="1135"/>
    </row>
    <row r="963" spans="3:16">
      <c r="C963" s="1135"/>
      <c r="D963" s="1135"/>
      <c r="E963" s="1135"/>
      <c r="F963" s="1135"/>
      <c r="G963" s="1135"/>
      <c r="H963" s="1135"/>
      <c r="I963" s="1135"/>
      <c r="J963" s="1135"/>
      <c r="K963" s="1135"/>
      <c r="L963" s="1135"/>
      <c r="M963" s="1135"/>
      <c r="N963" s="1135"/>
      <c r="O963" s="1135"/>
      <c r="P963" s="1135"/>
    </row>
    <row r="964" spans="3:16">
      <c r="C964" s="1135"/>
      <c r="D964" s="1135"/>
      <c r="E964" s="1135"/>
      <c r="F964" s="1135"/>
      <c r="G964" s="1135"/>
      <c r="H964" s="1135"/>
      <c r="I964" s="1135"/>
      <c r="J964" s="1135"/>
      <c r="K964" s="1135"/>
      <c r="L964" s="1135"/>
      <c r="M964" s="1135"/>
      <c r="N964" s="1135"/>
      <c r="O964" s="1135"/>
      <c r="P964" s="1135"/>
    </row>
    <row r="965" spans="3:16">
      <c r="C965" s="1135"/>
      <c r="D965" s="1135"/>
      <c r="E965" s="1135"/>
      <c r="F965" s="1135"/>
      <c r="G965" s="1135"/>
      <c r="H965" s="1135"/>
      <c r="I965" s="1135"/>
      <c r="J965" s="1135"/>
      <c r="K965" s="1135"/>
      <c r="L965" s="1135"/>
      <c r="M965" s="1135"/>
      <c r="N965" s="1135"/>
      <c r="O965" s="1135"/>
      <c r="P965" s="1135"/>
    </row>
    <row r="966" spans="3:16">
      <c r="C966" s="1135"/>
      <c r="D966" s="1135"/>
      <c r="E966" s="1135"/>
      <c r="F966" s="1135"/>
      <c r="G966" s="1135"/>
      <c r="H966" s="1135"/>
      <c r="I966" s="1135"/>
      <c r="J966" s="1135"/>
      <c r="K966" s="1135"/>
      <c r="L966" s="1135"/>
      <c r="M966" s="1135"/>
      <c r="N966" s="1135"/>
      <c r="O966" s="1135"/>
      <c r="P966" s="1135"/>
    </row>
    <row r="967" spans="3:16">
      <c r="C967" s="1135"/>
      <c r="D967" s="1135"/>
      <c r="E967" s="1135"/>
      <c r="F967" s="1135"/>
      <c r="G967" s="1135"/>
      <c r="H967" s="1135"/>
      <c r="I967" s="1135"/>
      <c r="J967" s="1135"/>
      <c r="K967" s="1135"/>
      <c r="L967" s="1135"/>
      <c r="M967" s="1135"/>
      <c r="N967" s="1135"/>
      <c r="O967" s="1135"/>
      <c r="P967" s="1135"/>
    </row>
    <row r="968" spans="3:16">
      <c r="C968" s="1135"/>
      <c r="D968" s="1135"/>
      <c r="E968" s="1135"/>
      <c r="F968" s="1135"/>
      <c r="G968" s="1135"/>
      <c r="H968" s="1135"/>
      <c r="I968" s="1135"/>
      <c r="J968" s="1135"/>
      <c r="K968" s="1135"/>
      <c r="L968" s="1135"/>
      <c r="M968" s="1135"/>
      <c r="N968" s="1135"/>
      <c r="O968" s="1135"/>
      <c r="P968" s="1135"/>
    </row>
    <row r="969" spans="3:16">
      <c r="C969" s="1135"/>
      <c r="D969" s="1135"/>
      <c r="E969" s="1135"/>
      <c r="F969" s="1135"/>
      <c r="G969" s="1135"/>
      <c r="H969" s="1135"/>
      <c r="I969" s="1135"/>
      <c r="J969" s="1135"/>
      <c r="K969" s="1135"/>
      <c r="L969" s="1135"/>
      <c r="M969" s="1135"/>
      <c r="N969" s="1135"/>
      <c r="O969" s="1135"/>
      <c r="P969" s="1135"/>
    </row>
    <row r="970" spans="3:16">
      <c r="C970" s="1135"/>
      <c r="D970" s="1135"/>
      <c r="E970" s="1135"/>
      <c r="F970" s="1135"/>
      <c r="G970" s="1135"/>
      <c r="H970" s="1135"/>
      <c r="I970" s="1135"/>
      <c r="J970" s="1135"/>
      <c r="K970" s="1135"/>
      <c r="L970" s="1135"/>
      <c r="M970" s="1135"/>
      <c r="N970" s="1135"/>
      <c r="O970" s="1135"/>
      <c r="P970" s="1135"/>
    </row>
    <row r="971" spans="3:16">
      <c r="C971" s="1135"/>
      <c r="D971" s="1135"/>
      <c r="E971" s="1135"/>
      <c r="F971" s="1135"/>
      <c r="G971" s="1135"/>
      <c r="H971" s="1135"/>
      <c r="I971" s="1135"/>
      <c r="J971" s="1135"/>
      <c r="K971" s="1135"/>
      <c r="L971" s="1135"/>
      <c r="M971" s="1135"/>
      <c r="N971" s="1135"/>
      <c r="O971" s="1135"/>
      <c r="P971" s="1135"/>
    </row>
    <row r="972" spans="3:16">
      <c r="C972" s="1135"/>
      <c r="D972" s="1135"/>
      <c r="E972" s="1135"/>
      <c r="F972" s="1135"/>
      <c r="G972" s="1135"/>
      <c r="H972" s="1135"/>
      <c r="I972" s="1135"/>
      <c r="J972" s="1135"/>
      <c r="K972" s="1135"/>
      <c r="L972" s="1135"/>
      <c r="M972" s="1135"/>
      <c r="N972" s="1135"/>
      <c r="O972" s="1135"/>
      <c r="P972" s="1135"/>
    </row>
    <row r="973" spans="3:16">
      <c r="C973" s="1135"/>
      <c r="D973" s="1135"/>
      <c r="E973" s="1135"/>
      <c r="F973" s="1135"/>
      <c r="G973" s="1135"/>
      <c r="H973" s="1135"/>
      <c r="I973" s="1135"/>
      <c r="J973" s="1135"/>
      <c r="K973" s="1135"/>
      <c r="L973" s="1135"/>
      <c r="M973" s="1135"/>
      <c r="N973" s="1135"/>
      <c r="O973" s="1135"/>
      <c r="P973" s="1135"/>
    </row>
    <row r="974" spans="3:16">
      <c r="C974" s="1135"/>
      <c r="D974" s="1135"/>
      <c r="E974" s="1135"/>
      <c r="F974" s="1135"/>
      <c r="G974" s="1135"/>
      <c r="H974" s="1135"/>
      <c r="I974" s="1135"/>
      <c r="J974" s="1135"/>
      <c r="K974" s="1135"/>
      <c r="L974" s="1135"/>
      <c r="M974" s="1135"/>
      <c r="N974" s="1135"/>
      <c r="O974" s="1135"/>
      <c r="P974" s="1135"/>
    </row>
    <row r="975" spans="3:16">
      <c r="C975" s="1135"/>
      <c r="D975" s="1135"/>
      <c r="E975" s="1135"/>
      <c r="F975" s="1135"/>
      <c r="G975" s="1135"/>
      <c r="H975" s="1135"/>
      <c r="I975" s="1135"/>
      <c r="J975" s="1135"/>
      <c r="K975" s="1135"/>
      <c r="L975" s="1135"/>
      <c r="M975" s="1135"/>
      <c r="N975" s="1135"/>
      <c r="O975" s="1135"/>
      <c r="P975" s="1135"/>
    </row>
    <row r="976" spans="3:16">
      <c r="C976" s="1135"/>
      <c r="D976" s="1135"/>
      <c r="E976" s="1135"/>
      <c r="F976" s="1135"/>
      <c r="G976" s="1135"/>
      <c r="H976" s="1135"/>
      <c r="I976" s="1135"/>
      <c r="J976" s="1135"/>
      <c r="K976" s="1135"/>
      <c r="L976" s="1135"/>
      <c r="M976" s="1135"/>
      <c r="N976" s="1135"/>
      <c r="O976" s="1135"/>
      <c r="P976" s="1135"/>
    </row>
    <row r="977" spans="3:16">
      <c r="C977" s="1135"/>
      <c r="D977" s="1135"/>
      <c r="E977" s="1135"/>
      <c r="F977" s="1135"/>
      <c r="G977" s="1135"/>
      <c r="H977" s="1135"/>
      <c r="I977" s="1135"/>
      <c r="J977" s="1135"/>
      <c r="K977" s="1135"/>
      <c r="L977" s="1135"/>
      <c r="M977" s="1135"/>
      <c r="N977" s="1135"/>
      <c r="O977" s="1135"/>
      <c r="P977" s="1135"/>
    </row>
    <row r="978" spans="3:16">
      <c r="C978" s="1135"/>
      <c r="D978" s="1135"/>
      <c r="E978" s="1135"/>
      <c r="F978" s="1135"/>
      <c r="G978" s="1135"/>
      <c r="H978" s="1135"/>
      <c r="I978" s="1135"/>
      <c r="J978" s="1135"/>
      <c r="K978" s="1135"/>
      <c r="L978" s="1135"/>
      <c r="M978" s="1135"/>
      <c r="N978" s="1135"/>
      <c r="O978" s="1135"/>
      <c r="P978" s="1135"/>
    </row>
    <row r="979" spans="3:16">
      <c r="C979" s="1135"/>
      <c r="D979" s="1135"/>
      <c r="E979" s="1135"/>
      <c r="F979" s="1135"/>
      <c r="G979" s="1135"/>
      <c r="H979" s="1135"/>
      <c r="I979" s="1135"/>
      <c r="J979" s="1135"/>
      <c r="K979" s="1135"/>
      <c r="L979" s="1135"/>
      <c r="M979" s="1135"/>
      <c r="N979" s="1135"/>
      <c r="O979" s="1135"/>
      <c r="P979" s="1135"/>
    </row>
    <row r="980" spans="3:16">
      <c r="C980" s="1135"/>
      <c r="D980" s="1135"/>
      <c r="E980" s="1135"/>
      <c r="F980" s="1135"/>
      <c r="G980" s="1135"/>
      <c r="H980" s="1135"/>
      <c r="I980" s="1135"/>
      <c r="J980" s="1135"/>
      <c r="K980" s="1135"/>
      <c r="L980" s="1135"/>
      <c r="M980" s="1135"/>
      <c r="N980" s="1135"/>
      <c r="O980" s="1135"/>
      <c r="P980" s="1135"/>
    </row>
    <row r="981" spans="3:16">
      <c r="C981" s="1135"/>
      <c r="D981" s="1135"/>
      <c r="E981" s="1135"/>
      <c r="F981" s="1135"/>
      <c r="G981" s="1135"/>
      <c r="H981" s="1135"/>
      <c r="I981" s="1135"/>
      <c r="J981" s="1135"/>
      <c r="K981" s="1135"/>
      <c r="L981" s="1135"/>
      <c r="M981" s="1135"/>
      <c r="N981" s="1135"/>
      <c r="O981" s="1135"/>
      <c r="P981" s="1135"/>
    </row>
    <row r="982" spans="3:16">
      <c r="C982" s="1135"/>
      <c r="D982" s="1135"/>
      <c r="E982" s="1135"/>
      <c r="F982" s="1135"/>
      <c r="G982" s="1135"/>
      <c r="H982" s="1135"/>
      <c r="I982" s="1135"/>
      <c r="J982" s="1135"/>
      <c r="K982" s="1135"/>
      <c r="L982" s="1135"/>
      <c r="M982" s="1135"/>
      <c r="N982" s="1135"/>
      <c r="O982" s="1135"/>
      <c r="P982" s="1135"/>
    </row>
    <row r="983" spans="3:16">
      <c r="C983" s="1135"/>
      <c r="D983" s="1135"/>
      <c r="E983" s="1135"/>
      <c r="F983" s="1135"/>
      <c r="G983" s="1135"/>
      <c r="H983" s="1135"/>
      <c r="I983" s="1135"/>
      <c r="J983" s="1135"/>
      <c r="K983" s="1135"/>
      <c r="L983" s="1135"/>
      <c r="M983" s="1135"/>
      <c r="N983" s="1135"/>
      <c r="O983" s="1135"/>
      <c r="P983" s="1135"/>
    </row>
    <row r="984" spans="3:16">
      <c r="C984" s="1135"/>
      <c r="D984" s="1135"/>
      <c r="E984" s="1135"/>
      <c r="F984" s="1135"/>
      <c r="G984" s="1135"/>
      <c r="H984" s="1135"/>
      <c r="I984" s="1135"/>
      <c r="J984" s="1135"/>
      <c r="K984" s="1135"/>
      <c r="L984" s="1135"/>
      <c r="M984" s="1135"/>
      <c r="N984" s="1135"/>
      <c r="O984" s="1135"/>
      <c r="P984" s="1135"/>
    </row>
    <row r="985" spans="3:16">
      <c r="C985" s="1135"/>
      <c r="D985" s="1135"/>
      <c r="E985" s="1135"/>
      <c r="F985" s="1135"/>
      <c r="G985" s="1135"/>
      <c r="H985" s="1135"/>
      <c r="I985" s="1135"/>
      <c r="J985" s="1135"/>
      <c r="K985" s="1135"/>
      <c r="L985" s="1135"/>
      <c r="M985" s="1135"/>
      <c r="N985" s="1135"/>
      <c r="O985" s="1135"/>
      <c r="P985" s="1135"/>
    </row>
    <row r="986" spans="3:16">
      <c r="C986" s="1135"/>
      <c r="D986" s="1135"/>
      <c r="E986" s="1135"/>
      <c r="F986" s="1135"/>
      <c r="G986" s="1135"/>
      <c r="H986" s="1135"/>
      <c r="I986" s="1135"/>
      <c r="J986" s="1135"/>
      <c r="K986" s="1135"/>
      <c r="L986" s="1135"/>
      <c r="M986" s="1135"/>
      <c r="N986" s="1135"/>
      <c r="O986" s="1135"/>
      <c r="P986" s="1135"/>
    </row>
    <row r="987" spans="3:16">
      <c r="C987" s="1135"/>
      <c r="D987" s="1135"/>
      <c r="E987" s="1135"/>
      <c r="F987" s="1135"/>
      <c r="G987" s="1135"/>
      <c r="H987" s="1135"/>
      <c r="I987" s="1135"/>
      <c r="J987" s="1135"/>
      <c r="K987" s="1135"/>
      <c r="L987" s="1135"/>
      <c r="M987" s="1135"/>
      <c r="N987" s="1135"/>
      <c r="O987" s="1135"/>
      <c r="P987" s="1135"/>
    </row>
    <row r="988" spans="3:16">
      <c r="C988" s="1135"/>
      <c r="D988" s="1135"/>
      <c r="E988" s="1135"/>
      <c r="F988" s="1135"/>
      <c r="G988" s="1135"/>
      <c r="H988" s="1135"/>
      <c r="I988" s="1135"/>
      <c r="J988" s="1135"/>
      <c r="K988" s="1135"/>
      <c r="L988" s="1135"/>
      <c r="M988" s="1135"/>
      <c r="N988" s="1135"/>
      <c r="O988" s="1135"/>
      <c r="P988" s="1135"/>
    </row>
    <row r="989" spans="3:16">
      <c r="C989" s="1135"/>
      <c r="D989" s="1135"/>
      <c r="E989" s="1135"/>
      <c r="F989" s="1135"/>
      <c r="G989" s="1135"/>
      <c r="H989" s="1135"/>
      <c r="I989" s="1135"/>
      <c r="J989" s="1135"/>
      <c r="K989" s="1135"/>
      <c r="L989" s="1135"/>
      <c r="M989" s="1135"/>
      <c r="N989" s="1135"/>
      <c r="O989" s="1135"/>
      <c r="P989" s="1135"/>
    </row>
    <row r="990" spans="3:16">
      <c r="C990" s="1135"/>
      <c r="D990" s="1135"/>
      <c r="E990" s="1135"/>
      <c r="F990" s="1135"/>
      <c r="G990" s="1135"/>
      <c r="H990" s="1135"/>
      <c r="I990" s="1135"/>
      <c r="J990" s="1135"/>
      <c r="K990" s="1135"/>
      <c r="L990" s="1135"/>
      <c r="M990" s="1135"/>
      <c r="N990" s="1135"/>
      <c r="O990" s="1135"/>
      <c r="P990" s="1135"/>
    </row>
    <row r="991" spans="3:16">
      <c r="C991" s="1135"/>
      <c r="D991" s="1135"/>
      <c r="E991" s="1135"/>
      <c r="F991" s="1135"/>
      <c r="G991" s="1135"/>
      <c r="H991" s="1135"/>
      <c r="I991" s="1135"/>
      <c r="J991" s="1135"/>
      <c r="K991" s="1135"/>
      <c r="L991" s="1135"/>
      <c r="M991" s="1135"/>
      <c r="N991" s="1135"/>
      <c r="O991" s="1135"/>
      <c r="P991" s="1135"/>
    </row>
    <row r="992" spans="3:16">
      <c r="C992" s="1135"/>
      <c r="D992" s="1135"/>
      <c r="E992" s="1135"/>
      <c r="F992" s="1135"/>
      <c r="G992" s="1135"/>
      <c r="H992" s="1135"/>
      <c r="I992" s="1135"/>
      <c r="J992" s="1135"/>
      <c r="K992" s="1135"/>
      <c r="L992" s="1135"/>
      <c r="M992" s="1135"/>
      <c r="N992" s="1135"/>
      <c r="O992" s="1135"/>
      <c r="P992" s="1135"/>
    </row>
    <row r="993" spans="3:16">
      <c r="C993" s="1135"/>
      <c r="D993" s="1135"/>
      <c r="E993" s="1135"/>
      <c r="F993" s="1135"/>
      <c r="G993" s="1135"/>
      <c r="H993" s="1135"/>
      <c r="I993" s="1135"/>
      <c r="J993" s="1135"/>
      <c r="K993" s="1135"/>
      <c r="L993" s="1135"/>
      <c r="M993" s="1135"/>
      <c r="N993" s="1135"/>
      <c r="O993" s="1135"/>
      <c r="P993" s="1135"/>
    </row>
    <row r="994" spans="3:16">
      <c r="C994" s="1135"/>
      <c r="D994" s="1135"/>
      <c r="E994" s="1135"/>
      <c r="F994" s="1135"/>
      <c r="G994" s="1135"/>
      <c r="H994" s="1135"/>
      <c r="I994" s="1135"/>
      <c r="J994" s="1135"/>
      <c r="K994" s="1135"/>
      <c r="L994" s="1135"/>
      <c r="M994" s="1135"/>
      <c r="N994" s="1135"/>
      <c r="O994" s="1135"/>
      <c r="P994" s="1135"/>
    </row>
    <row r="995" spans="3:16">
      <c r="C995" s="1135"/>
      <c r="D995" s="1135"/>
      <c r="E995" s="1135"/>
      <c r="F995" s="1135"/>
      <c r="G995" s="1135"/>
      <c r="H995" s="1135"/>
      <c r="I995" s="1135"/>
      <c r="J995" s="1135"/>
      <c r="K995" s="1135"/>
      <c r="L995" s="1135"/>
      <c r="M995" s="1135"/>
      <c r="N995" s="1135"/>
      <c r="O995" s="1135"/>
      <c r="P995" s="1135"/>
    </row>
    <row r="996" spans="3:16">
      <c r="C996" s="1135"/>
      <c r="D996" s="1135"/>
      <c r="E996" s="1135"/>
      <c r="F996" s="1135"/>
      <c r="G996" s="1135"/>
      <c r="H996" s="1135"/>
      <c r="I996" s="1135"/>
      <c r="J996" s="1135"/>
      <c r="K996" s="1135"/>
      <c r="L996" s="1135"/>
      <c r="M996" s="1135"/>
      <c r="N996" s="1135"/>
      <c r="O996" s="1135"/>
      <c r="P996" s="1135"/>
    </row>
    <row r="997" spans="3:16">
      <c r="C997" s="1135"/>
      <c r="D997" s="1135"/>
      <c r="E997" s="1135"/>
      <c r="F997" s="1135"/>
      <c r="G997" s="1135"/>
      <c r="H997" s="1135"/>
      <c r="I997" s="1135"/>
      <c r="J997" s="1135"/>
      <c r="K997" s="1135"/>
      <c r="L997" s="1135"/>
      <c r="M997" s="1135"/>
      <c r="N997" s="1135"/>
      <c r="O997" s="1135"/>
      <c r="P997" s="1135"/>
    </row>
    <row r="998" spans="3:16">
      <c r="C998" s="1135"/>
      <c r="D998" s="1135"/>
      <c r="E998" s="1135"/>
      <c r="F998" s="1135"/>
      <c r="G998" s="1135"/>
      <c r="H998" s="1135"/>
      <c r="I998" s="1135"/>
      <c r="J998" s="1135"/>
      <c r="K998" s="1135"/>
      <c r="L998" s="1135"/>
      <c r="M998" s="1135"/>
      <c r="N998" s="1135"/>
      <c r="O998" s="1135"/>
      <c r="P998" s="1135"/>
    </row>
    <row r="999" spans="3:16">
      <c r="C999" s="1135"/>
      <c r="D999" s="1135"/>
      <c r="E999" s="1135"/>
      <c r="F999" s="1135"/>
      <c r="G999" s="1135"/>
      <c r="H999" s="1135"/>
      <c r="I999" s="1135"/>
      <c r="J999" s="1135"/>
      <c r="K999" s="1135"/>
      <c r="L999" s="1135"/>
      <c r="M999" s="1135"/>
      <c r="N999" s="1135"/>
      <c r="O999" s="1135"/>
      <c r="P999" s="1135"/>
    </row>
    <row r="1000" spans="3:16">
      <c r="C1000" s="1135"/>
      <c r="D1000" s="1135"/>
      <c r="E1000" s="1135"/>
      <c r="F1000" s="1135"/>
      <c r="G1000" s="1135"/>
      <c r="H1000" s="1135"/>
      <c r="I1000" s="1135"/>
      <c r="J1000" s="1135"/>
      <c r="K1000" s="1135"/>
      <c r="L1000" s="1135"/>
      <c r="M1000" s="1135"/>
      <c r="N1000" s="1135"/>
      <c r="O1000" s="1135"/>
      <c r="P1000" s="1135"/>
    </row>
    <row r="1001" spans="3:16">
      <c r="C1001" s="1135"/>
      <c r="D1001" s="1135"/>
      <c r="E1001" s="1135"/>
      <c r="F1001" s="1135"/>
      <c r="G1001" s="1135"/>
      <c r="H1001" s="1135"/>
      <c r="I1001" s="1135"/>
      <c r="J1001" s="1135"/>
      <c r="K1001" s="1135"/>
      <c r="L1001" s="1135"/>
      <c r="M1001" s="1135"/>
      <c r="N1001" s="1135"/>
      <c r="O1001" s="1135"/>
      <c r="P1001" s="1135"/>
    </row>
    <row r="1002" spans="3:16">
      <c r="C1002" s="1135"/>
      <c r="D1002" s="1135"/>
      <c r="E1002" s="1135"/>
      <c r="F1002" s="1135"/>
      <c r="G1002" s="1135"/>
      <c r="H1002" s="1135"/>
      <c r="I1002" s="1135"/>
      <c r="J1002" s="1135"/>
      <c r="K1002" s="1135"/>
      <c r="L1002" s="1135"/>
      <c r="M1002" s="1135"/>
      <c r="N1002" s="1135"/>
      <c r="O1002" s="1135"/>
      <c r="P1002" s="1135"/>
    </row>
    <row r="1003" spans="3:16">
      <c r="C1003" s="1135"/>
      <c r="D1003" s="1135"/>
      <c r="E1003" s="1135"/>
      <c r="F1003" s="1135"/>
      <c r="G1003" s="1135"/>
      <c r="H1003" s="1135"/>
      <c r="I1003" s="1135"/>
      <c r="J1003" s="1135"/>
      <c r="K1003" s="1135"/>
      <c r="L1003" s="1135"/>
      <c r="M1003" s="1135"/>
      <c r="N1003" s="1135"/>
      <c r="O1003" s="1135"/>
      <c r="P1003" s="1135"/>
    </row>
    <row r="1004" spans="3:16">
      <c r="C1004" s="1135"/>
      <c r="D1004" s="1135"/>
      <c r="E1004" s="1135"/>
      <c r="F1004" s="1135"/>
      <c r="G1004" s="1135"/>
      <c r="H1004" s="1135"/>
      <c r="I1004" s="1135"/>
      <c r="J1004" s="1135"/>
      <c r="K1004" s="1135"/>
      <c r="L1004" s="1135"/>
      <c r="M1004" s="1135"/>
      <c r="N1004" s="1135"/>
      <c r="O1004" s="1135"/>
      <c r="P1004" s="1135"/>
    </row>
    <row r="1005" spans="3:16">
      <c r="C1005" s="1135"/>
      <c r="D1005" s="1135"/>
      <c r="E1005" s="1135"/>
      <c r="F1005" s="1135"/>
      <c r="G1005" s="1135"/>
      <c r="H1005" s="1135"/>
      <c r="I1005" s="1135"/>
      <c r="J1005" s="1135"/>
      <c r="K1005" s="1135"/>
      <c r="L1005" s="1135"/>
      <c r="M1005" s="1135"/>
      <c r="N1005" s="1135"/>
      <c r="O1005" s="1135"/>
      <c r="P1005" s="1135"/>
    </row>
    <row r="1006" spans="3:16">
      <c r="C1006" s="1135"/>
      <c r="D1006" s="1135"/>
      <c r="E1006" s="1135"/>
      <c r="F1006" s="1135"/>
      <c r="G1006" s="1135"/>
      <c r="H1006" s="1135"/>
      <c r="I1006" s="1135"/>
      <c r="J1006" s="1135"/>
      <c r="K1006" s="1135"/>
      <c r="L1006" s="1135"/>
      <c r="M1006" s="1135"/>
      <c r="N1006" s="1135"/>
      <c r="O1006" s="1135"/>
      <c r="P1006" s="1135"/>
    </row>
    <row r="1007" spans="3:16">
      <c r="C1007" s="1135"/>
      <c r="D1007" s="1135"/>
      <c r="E1007" s="1135"/>
      <c r="F1007" s="1135"/>
      <c r="G1007" s="1135"/>
      <c r="H1007" s="1135"/>
      <c r="I1007" s="1135"/>
      <c r="J1007" s="1135"/>
      <c r="K1007" s="1135"/>
      <c r="L1007" s="1135"/>
      <c r="M1007" s="1135"/>
      <c r="N1007" s="1135"/>
      <c r="O1007" s="1135"/>
      <c r="P1007" s="1135"/>
    </row>
    <row r="1008" spans="3:16">
      <c r="C1008" s="1135"/>
      <c r="D1008" s="1135"/>
      <c r="E1008" s="1135"/>
      <c r="F1008" s="1135"/>
      <c r="G1008" s="1135"/>
      <c r="H1008" s="1135"/>
      <c r="I1008" s="1135"/>
      <c r="J1008" s="1135"/>
      <c r="K1008" s="1135"/>
      <c r="L1008" s="1135"/>
      <c r="M1008" s="1135"/>
      <c r="N1008" s="1135"/>
      <c r="O1008" s="1135"/>
      <c r="P1008" s="1135"/>
    </row>
    <row r="1009" spans="3:16">
      <c r="C1009" s="1135"/>
      <c r="D1009" s="1135"/>
      <c r="E1009" s="1135"/>
      <c r="F1009" s="1135"/>
      <c r="G1009" s="1135"/>
      <c r="H1009" s="1135"/>
      <c r="I1009" s="1135"/>
      <c r="J1009" s="1135"/>
      <c r="K1009" s="1135"/>
      <c r="L1009" s="1135"/>
      <c r="M1009" s="1135"/>
      <c r="N1009" s="1135"/>
      <c r="O1009" s="1135"/>
      <c r="P1009" s="1135"/>
    </row>
    <row r="1010" spans="3:16">
      <c r="C1010" s="1135"/>
      <c r="D1010" s="1135"/>
      <c r="E1010" s="1135"/>
      <c r="F1010" s="1135"/>
      <c r="G1010" s="1135"/>
      <c r="H1010" s="1135"/>
      <c r="I1010" s="1135"/>
      <c r="J1010" s="1135"/>
      <c r="K1010" s="1135"/>
      <c r="L1010" s="1135"/>
      <c r="M1010" s="1135"/>
      <c r="N1010" s="1135"/>
      <c r="O1010" s="1135"/>
      <c r="P1010" s="1135"/>
    </row>
    <row r="1011" spans="3:16">
      <c r="C1011" s="1135"/>
      <c r="D1011" s="1135"/>
      <c r="E1011" s="1135"/>
      <c r="F1011" s="1135"/>
      <c r="G1011" s="1135"/>
      <c r="H1011" s="1135"/>
      <c r="I1011" s="1135"/>
      <c r="J1011" s="1135"/>
      <c r="K1011" s="1135"/>
      <c r="L1011" s="1135"/>
      <c r="M1011" s="1135"/>
      <c r="N1011" s="1135"/>
      <c r="O1011" s="1135"/>
      <c r="P1011" s="1135"/>
    </row>
    <row r="1012" spans="3:16">
      <c r="C1012" s="1135"/>
      <c r="D1012" s="1135"/>
      <c r="E1012" s="1135"/>
      <c r="F1012" s="1135"/>
      <c r="G1012" s="1135"/>
      <c r="H1012" s="1135"/>
      <c r="I1012" s="1135"/>
      <c r="J1012" s="1135"/>
      <c r="K1012" s="1135"/>
      <c r="L1012" s="1135"/>
      <c r="M1012" s="1135"/>
      <c r="N1012" s="1135"/>
      <c r="O1012" s="1135"/>
      <c r="P1012" s="1135"/>
    </row>
    <row r="1013" spans="3:16">
      <c r="C1013" s="1135"/>
      <c r="D1013" s="1135"/>
      <c r="E1013" s="1135"/>
      <c r="F1013" s="1135"/>
      <c r="G1013" s="1135"/>
      <c r="H1013" s="1135"/>
      <c r="I1013" s="1135"/>
      <c r="J1013" s="1135"/>
      <c r="K1013" s="1135"/>
      <c r="L1013" s="1135"/>
      <c r="M1013" s="1135"/>
      <c r="N1013" s="1135"/>
      <c r="O1013" s="1135"/>
      <c r="P1013" s="1135"/>
    </row>
    <row r="1014" spans="3:16">
      <c r="C1014" s="1135"/>
      <c r="D1014" s="1135"/>
      <c r="E1014" s="1135"/>
      <c r="F1014" s="1135"/>
      <c r="G1014" s="1135"/>
      <c r="H1014" s="1135"/>
      <c r="I1014" s="1135"/>
      <c r="J1014" s="1135"/>
      <c r="K1014" s="1135"/>
      <c r="L1014" s="1135"/>
      <c r="M1014" s="1135"/>
      <c r="N1014" s="1135"/>
      <c r="O1014" s="1135"/>
      <c r="P1014" s="1135"/>
    </row>
    <row r="1015" spans="3:16">
      <c r="C1015" s="1135"/>
      <c r="D1015" s="1135"/>
      <c r="E1015" s="1135"/>
      <c r="F1015" s="1135"/>
      <c r="G1015" s="1135"/>
      <c r="H1015" s="1135"/>
      <c r="I1015" s="1135"/>
      <c r="J1015" s="1135"/>
      <c r="K1015" s="1135"/>
      <c r="L1015" s="1135"/>
      <c r="M1015" s="1135"/>
      <c r="N1015" s="1135"/>
      <c r="O1015" s="1135"/>
      <c r="P1015" s="1135"/>
    </row>
    <row r="1016" spans="3:16">
      <c r="C1016" s="1135"/>
      <c r="D1016" s="1135"/>
      <c r="E1016" s="1135"/>
      <c r="F1016" s="1135"/>
      <c r="G1016" s="1135"/>
      <c r="H1016" s="1135"/>
      <c r="I1016" s="1135"/>
      <c r="J1016" s="1135"/>
      <c r="K1016" s="1135"/>
      <c r="L1016" s="1135"/>
      <c r="M1016" s="1135"/>
      <c r="N1016" s="1135"/>
      <c r="O1016" s="1135"/>
      <c r="P1016" s="1135"/>
    </row>
    <row r="1017" spans="3:16">
      <c r="C1017" s="1135"/>
      <c r="D1017" s="1135"/>
      <c r="E1017" s="1135"/>
      <c r="F1017" s="1135"/>
      <c r="G1017" s="1135"/>
      <c r="H1017" s="1135"/>
      <c r="I1017" s="1135"/>
      <c r="J1017" s="1135"/>
      <c r="K1017" s="1135"/>
      <c r="L1017" s="1135"/>
      <c r="M1017" s="1135"/>
      <c r="N1017" s="1135"/>
      <c r="O1017" s="1135"/>
      <c r="P1017" s="1135"/>
    </row>
    <row r="1018" spans="3:16">
      <c r="C1018" s="1135"/>
      <c r="D1018" s="1135"/>
      <c r="E1018" s="1135"/>
      <c r="F1018" s="1135"/>
      <c r="G1018" s="1135"/>
      <c r="H1018" s="1135"/>
      <c r="I1018" s="1135"/>
      <c r="J1018" s="1135"/>
      <c r="K1018" s="1135"/>
      <c r="L1018" s="1135"/>
      <c r="M1018" s="1135"/>
      <c r="N1018" s="1135"/>
      <c r="O1018" s="1135"/>
      <c r="P1018" s="1135"/>
    </row>
    <row r="1019" spans="3:16">
      <c r="C1019" s="1135"/>
      <c r="D1019" s="1135"/>
      <c r="E1019" s="1135"/>
      <c r="F1019" s="1135"/>
      <c r="G1019" s="1135"/>
      <c r="H1019" s="1135"/>
      <c r="I1019" s="1135"/>
      <c r="J1019" s="1135"/>
      <c r="K1019" s="1135"/>
      <c r="L1019" s="1135"/>
      <c r="M1019" s="1135"/>
      <c r="N1019" s="1135"/>
      <c r="O1019" s="1135"/>
      <c r="P1019" s="1135"/>
    </row>
    <row r="1020" spans="3:16">
      <c r="C1020" s="1135"/>
      <c r="D1020" s="1135"/>
      <c r="E1020" s="1135"/>
      <c r="F1020" s="1135"/>
      <c r="G1020" s="1135"/>
      <c r="H1020" s="1135"/>
      <c r="I1020" s="1135"/>
      <c r="J1020" s="1135"/>
      <c r="K1020" s="1135"/>
      <c r="L1020" s="1135"/>
      <c r="M1020" s="1135"/>
      <c r="N1020" s="1135"/>
      <c r="O1020" s="1135"/>
      <c r="P1020" s="1135"/>
    </row>
    <row r="1021" spans="3:16">
      <c r="C1021" s="1135"/>
      <c r="D1021" s="1135"/>
      <c r="E1021" s="1135"/>
      <c r="F1021" s="1135"/>
      <c r="G1021" s="1135"/>
      <c r="H1021" s="1135"/>
      <c r="I1021" s="1135"/>
      <c r="J1021" s="1135"/>
      <c r="K1021" s="1135"/>
      <c r="L1021" s="1135"/>
      <c r="M1021" s="1135"/>
      <c r="N1021" s="1135"/>
      <c r="O1021" s="1135"/>
      <c r="P1021" s="1135"/>
    </row>
    <row r="1022" spans="3:16">
      <c r="C1022" s="1135"/>
      <c r="D1022" s="1135"/>
      <c r="E1022" s="1135"/>
      <c r="F1022" s="1135"/>
      <c r="G1022" s="1135"/>
      <c r="H1022" s="1135"/>
      <c r="I1022" s="1135"/>
      <c r="J1022" s="1135"/>
      <c r="K1022" s="1135"/>
      <c r="L1022" s="1135"/>
      <c r="M1022" s="1135"/>
      <c r="N1022" s="1135"/>
      <c r="O1022" s="1135"/>
      <c r="P1022" s="1135"/>
    </row>
    <row r="1023" spans="3:16">
      <c r="C1023" s="1135"/>
      <c r="D1023" s="1135"/>
      <c r="E1023" s="1135"/>
      <c r="F1023" s="1135"/>
      <c r="G1023" s="1135"/>
      <c r="H1023" s="1135"/>
      <c r="I1023" s="1135"/>
      <c r="J1023" s="1135"/>
      <c r="K1023" s="1135"/>
      <c r="L1023" s="1135"/>
      <c r="M1023" s="1135"/>
      <c r="N1023" s="1135"/>
      <c r="O1023" s="1135"/>
      <c r="P1023" s="1135"/>
    </row>
    <row r="1024" spans="3:16">
      <c r="C1024" s="1135"/>
      <c r="D1024" s="1135"/>
      <c r="E1024" s="1135"/>
      <c r="F1024" s="1135"/>
      <c r="G1024" s="1135"/>
      <c r="H1024" s="1135"/>
      <c r="I1024" s="1135"/>
      <c r="J1024" s="1135"/>
      <c r="K1024" s="1135"/>
      <c r="L1024" s="1135"/>
      <c r="M1024" s="1135"/>
      <c r="N1024" s="1135"/>
      <c r="O1024" s="1135"/>
      <c r="P1024" s="1135"/>
    </row>
    <row r="1025" spans="3:16">
      <c r="C1025" s="1135"/>
      <c r="D1025" s="1135"/>
      <c r="E1025" s="1135"/>
      <c r="F1025" s="1135"/>
      <c r="G1025" s="1135"/>
      <c r="H1025" s="1135"/>
      <c r="I1025" s="1135"/>
      <c r="J1025" s="1135"/>
      <c r="K1025" s="1135"/>
      <c r="L1025" s="1135"/>
      <c r="M1025" s="1135"/>
      <c r="N1025" s="1135"/>
      <c r="O1025" s="1135"/>
      <c r="P1025" s="1135"/>
    </row>
    <row r="1026" spans="3:16">
      <c r="C1026" s="1135"/>
      <c r="D1026" s="1135"/>
      <c r="E1026" s="1135"/>
      <c r="F1026" s="1135"/>
      <c r="G1026" s="1135"/>
      <c r="H1026" s="1135"/>
      <c r="I1026" s="1135"/>
      <c r="J1026" s="1135"/>
      <c r="K1026" s="1135"/>
      <c r="L1026" s="1135"/>
      <c r="M1026" s="1135"/>
      <c r="N1026" s="1135"/>
      <c r="O1026" s="1135"/>
      <c r="P1026" s="1135"/>
    </row>
    <row r="1027" spans="3:16">
      <c r="C1027" s="1135"/>
      <c r="D1027" s="1135"/>
      <c r="E1027" s="1135"/>
      <c r="F1027" s="1135"/>
      <c r="G1027" s="1135"/>
      <c r="H1027" s="1135"/>
      <c r="I1027" s="1135"/>
      <c r="J1027" s="1135"/>
      <c r="K1027" s="1135"/>
      <c r="L1027" s="1135"/>
      <c r="M1027" s="1135"/>
      <c r="N1027" s="1135"/>
      <c r="O1027" s="1135"/>
      <c r="P1027" s="1135"/>
    </row>
    <row r="1028" spans="3:16">
      <c r="C1028" s="1135"/>
      <c r="D1028" s="1135"/>
      <c r="E1028" s="1135"/>
      <c r="F1028" s="1135"/>
      <c r="G1028" s="1135"/>
      <c r="H1028" s="1135"/>
      <c r="I1028" s="1135"/>
      <c r="J1028" s="1135"/>
      <c r="K1028" s="1135"/>
      <c r="L1028" s="1135"/>
      <c r="M1028" s="1135"/>
      <c r="N1028" s="1135"/>
      <c r="O1028" s="1135"/>
      <c r="P1028" s="1135"/>
    </row>
    <row r="1029" spans="3:16">
      <c r="C1029" s="1135"/>
      <c r="D1029" s="1135"/>
      <c r="E1029" s="1135"/>
      <c r="F1029" s="1135"/>
      <c r="G1029" s="1135"/>
      <c r="H1029" s="1135"/>
      <c r="I1029" s="1135"/>
      <c r="J1029" s="1135"/>
      <c r="K1029" s="1135"/>
      <c r="L1029" s="1135"/>
      <c r="M1029" s="1135"/>
      <c r="N1029" s="1135"/>
      <c r="O1029" s="1135"/>
      <c r="P1029" s="1135"/>
    </row>
    <row r="1030" spans="3:16">
      <c r="C1030" s="1135"/>
      <c r="D1030" s="1135"/>
      <c r="E1030" s="1135"/>
      <c r="F1030" s="1135"/>
      <c r="G1030" s="1135"/>
      <c r="H1030" s="1135"/>
      <c r="I1030" s="1135"/>
      <c r="J1030" s="1135"/>
      <c r="K1030" s="1135"/>
      <c r="L1030" s="1135"/>
      <c r="M1030" s="1135"/>
      <c r="N1030" s="1135"/>
      <c r="O1030" s="1135"/>
      <c r="P1030" s="1135"/>
    </row>
    <row r="1031" spans="3:16">
      <c r="C1031" s="1135"/>
      <c r="D1031" s="1135"/>
      <c r="E1031" s="1135"/>
      <c r="F1031" s="1135"/>
      <c r="G1031" s="1135"/>
      <c r="H1031" s="1135"/>
      <c r="I1031" s="1135"/>
      <c r="J1031" s="1135"/>
      <c r="K1031" s="1135"/>
      <c r="L1031" s="1135"/>
      <c r="M1031" s="1135"/>
      <c r="N1031" s="1135"/>
      <c r="O1031" s="1135"/>
      <c r="P1031" s="1135"/>
    </row>
    <row r="1032" spans="3:16">
      <c r="C1032" s="1135"/>
      <c r="D1032" s="1135"/>
      <c r="E1032" s="1135"/>
      <c r="F1032" s="1135"/>
      <c r="G1032" s="1135"/>
      <c r="H1032" s="1135"/>
      <c r="I1032" s="1135"/>
      <c r="J1032" s="1135"/>
      <c r="K1032" s="1135"/>
      <c r="L1032" s="1135"/>
      <c r="M1032" s="1135"/>
      <c r="N1032" s="1135"/>
      <c r="O1032" s="1135"/>
      <c r="P1032" s="1135"/>
    </row>
    <row r="1033" spans="3:16">
      <c r="C1033" s="1135"/>
      <c r="D1033" s="1135"/>
      <c r="E1033" s="1135"/>
      <c r="F1033" s="1135"/>
      <c r="G1033" s="1135"/>
      <c r="H1033" s="1135"/>
      <c r="I1033" s="1135"/>
      <c r="J1033" s="1135"/>
      <c r="K1033" s="1135"/>
      <c r="L1033" s="1135"/>
      <c r="M1033" s="1135"/>
      <c r="N1033" s="1135"/>
      <c r="O1033" s="1135"/>
      <c r="P1033" s="1135"/>
    </row>
    <row r="1034" spans="3:16">
      <c r="C1034" s="1135"/>
      <c r="D1034" s="1135"/>
      <c r="E1034" s="1135"/>
      <c r="F1034" s="1135"/>
      <c r="G1034" s="1135"/>
      <c r="H1034" s="1135"/>
      <c r="I1034" s="1135"/>
      <c r="J1034" s="1135"/>
      <c r="K1034" s="1135"/>
      <c r="L1034" s="1135"/>
      <c r="M1034" s="1135"/>
      <c r="N1034" s="1135"/>
      <c r="O1034" s="1135"/>
      <c r="P1034" s="1135"/>
    </row>
    <row r="1035" spans="3:16">
      <c r="C1035" s="1135"/>
      <c r="D1035" s="1135"/>
      <c r="E1035" s="1135"/>
      <c r="F1035" s="1135"/>
      <c r="G1035" s="1135"/>
      <c r="H1035" s="1135"/>
      <c r="I1035" s="1135"/>
      <c r="J1035" s="1135"/>
      <c r="K1035" s="1135"/>
      <c r="L1035" s="1135"/>
      <c r="M1035" s="1135"/>
      <c r="N1035" s="1135"/>
      <c r="O1035" s="1135"/>
      <c r="P1035" s="1135"/>
    </row>
    <row r="1036" spans="3:16">
      <c r="C1036" s="1135"/>
      <c r="D1036" s="1135"/>
      <c r="E1036" s="1135"/>
      <c r="F1036" s="1135"/>
      <c r="G1036" s="1135"/>
      <c r="H1036" s="1135"/>
      <c r="I1036" s="1135"/>
      <c r="J1036" s="1135"/>
      <c r="K1036" s="1135"/>
      <c r="L1036" s="1135"/>
      <c r="M1036" s="1135"/>
      <c r="N1036" s="1135"/>
      <c r="O1036" s="1135"/>
      <c r="P1036" s="1135"/>
    </row>
    <row r="1037" spans="3:16">
      <c r="C1037" s="1135"/>
      <c r="D1037" s="1135"/>
      <c r="E1037" s="1135"/>
      <c r="F1037" s="1135"/>
      <c r="G1037" s="1135"/>
      <c r="H1037" s="1135"/>
      <c r="I1037" s="1135"/>
      <c r="J1037" s="1135"/>
      <c r="K1037" s="1135"/>
      <c r="L1037" s="1135"/>
      <c r="M1037" s="1135"/>
      <c r="N1037" s="1135"/>
      <c r="O1037" s="1135"/>
      <c r="P1037" s="1135"/>
    </row>
    <row r="1038" spans="3:16">
      <c r="C1038" s="1135"/>
      <c r="D1038" s="1135"/>
      <c r="E1038" s="1135"/>
      <c r="F1038" s="1135"/>
      <c r="G1038" s="1135"/>
      <c r="H1038" s="1135"/>
      <c r="I1038" s="1135"/>
      <c r="J1038" s="1135"/>
      <c r="K1038" s="1135"/>
      <c r="L1038" s="1135"/>
      <c r="M1038" s="1135"/>
      <c r="N1038" s="1135"/>
      <c r="O1038" s="1135"/>
      <c r="P1038" s="1135"/>
    </row>
    <row r="1039" spans="3:16">
      <c r="C1039" s="1135"/>
      <c r="D1039" s="1135"/>
      <c r="E1039" s="1135"/>
      <c r="F1039" s="1135"/>
      <c r="G1039" s="1135"/>
      <c r="H1039" s="1135"/>
      <c r="I1039" s="1135"/>
      <c r="J1039" s="1135"/>
      <c r="K1039" s="1135"/>
      <c r="L1039" s="1135"/>
      <c r="M1039" s="1135"/>
      <c r="N1039" s="1135"/>
      <c r="O1039" s="1135"/>
      <c r="P1039" s="1135"/>
    </row>
    <row r="1040" spans="3:16">
      <c r="C1040" s="1135"/>
      <c r="D1040" s="1135"/>
      <c r="E1040" s="1135"/>
      <c r="F1040" s="1135"/>
      <c r="G1040" s="1135"/>
      <c r="H1040" s="1135"/>
      <c r="I1040" s="1135"/>
      <c r="J1040" s="1135"/>
      <c r="K1040" s="1135"/>
      <c r="L1040" s="1135"/>
      <c r="M1040" s="1135"/>
      <c r="N1040" s="1135"/>
      <c r="O1040" s="1135"/>
      <c r="P1040" s="1135"/>
    </row>
    <row r="1041" spans="3:16">
      <c r="C1041" s="1135"/>
      <c r="D1041" s="1135"/>
      <c r="E1041" s="1135"/>
      <c r="F1041" s="1135"/>
      <c r="G1041" s="1135"/>
      <c r="H1041" s="1135"/>
      <c r="I1041" s="1135"/>
      <c r="J1041" s="1135"/>
      <c r="K1041" s="1135"/>
      <c r="L1041" s="1135"/>
      <c r="M1041" s="1135"/>
      <c r="N1041" s="1135"/>
      <c r="O1041" s="1135"/>
      <c r="P1041" s="1135"/>
    </row>
    <row r="1042" spans="3:16">
      <c r="C1042" s="1135"/>
      <c r="D1042" s="1135"/>
      <c r="E1042" s="1135"/>
      <c r="F1042" s="1135"/>
      <c r="G1042" s="1135"/>
      <c r="H1042" s="1135"/>
      <c r="I1042" s="1135"/>
      <c r="J1042" s="1135"/>
      <c r="K1042" s="1135"/>
      <c r="L1042" s="1135"/>
      <c r="M1042" s="1135"/>
      <c r="N1042" s="1135"/>
      <c r="O1042" s="1135"/>
      <c r="P1042" s="1135"/>
    </row>
    <row r="1043" spans="3:16">
      <c r="C1043" s="1135"/>
      <c r="D1043" s="1135"/>
      <c r="E1043" s="1135"/>
      <c r="F1043" s="1135"/>
      <c r="G1043" s="1135"/>
      <c r="H1043" s="1135"/>
      <c r="I1043" s="1135"/>
      <c r="J1043" s="1135"/>
      <c r="K1043" s="1135"/>
      <c r="L1043" s="1135"/>
      <c r="M1043" s="1135"/>
      <c r="N1043" s="1135"/>
      <c r="O1043" s="1135"/>
      <c r="P1043" s="1135"/>
    </row>
    <row r="1044" spans="3:16">
      <c r="C1044" s="1135"/>
      <c r="D1044" s="1135"/>
      <c r="E1044" s="1135"/>
      <c r="F1044" s="1135"/>
      <c r="G1044" s="1135"/>
      <c r="H1044" s="1135"/>
      <c r="I1044" s="1135"/>
      <c r="J1044" s="1135"/>
      <c r="K1044" s="1135"/>
      <c r="L1044" s="1135"/>
      <c r="M1044" s="1135"/>
      <c r="N1044" s="1135"/>
      <c r="O1044" s="1135"/>
      <c r="P1044" s="1135"/>
    </row>
    <row r="1045" spans="3:16">
      <c r="C1045" s="1135"/>
      <c r="D1045" s="1135"/>
      <c r="E1045" s="1135"/>
      <c r="F1045" s="1135"/>
      <c r="G1045" s="1135"/>
      <c r="H1045" s="1135"/>
      <c r="I1045" s="1135"/>
      <c r="J1045" s="1135"/>
      <c r="K1045" s="1135"/>
      <c r="L1045" s="1135"/>
      <c r="M1045" s="1135"/>
      <c r="N1045" s="1135"/>
      <c r="O1045" s="1135"/>
      <c r="P1045" s="1135"/>
    </row>
    <row r="1046" spans="3:16">
      <c r="C1046" s="1135"/>
      <c r="D1046" s="1135"/>
      <c r="E1046" s="1135"/>
      <c r="F1046" s="1135"/>
      <c r="G1046" s="1135"/>
      <c r="H1046" s="1135"/>
      <c r="I1046" s="1135"/>
      <c r="J1046" s="1135"/>
      <c r="K1046" s="1135"/>
      <c r="L1046" s="1135"/>
      <c r="M1046" s="1135"/>
      <c r="N1046" s="1135"/>
      <c r="O1046" s="1135"/>
      <c r="P1046" s="1135"/>
    </row>
    <row r="1047" spans="3:16">
      <c r="C1047" s="1135"/>
      <c r="D1047" s="1135"/>
      <c r="E1047" s="1135"/>
      <c r="F1047" s="1135"/>
      <c r="G1047" s="1135"/>
      <c r="H1047" s="1135"/>
      <c r="I1047" s="1135"/>
      <c r="J1047" s="1135"/>
      <c r="K1047" s="1135"/>
      <c r="L1047" s="1135"/>
      <c r="M1047" s="1135"/>
      <c r="N1047" s="1135"/>
      <c r="O1047" s="1135"/>
      <c r="P1047" s="1135"/>
    </row>
    <row r="1048" spans="3:16">
      <c r="C1048" s="1135"/>
      <c r="D1048" s="1135"/>
      <c r="E1048" s="1135"/>
      <c r="F1048" s="1135"/>
      <c r="G1048" s="1135"/>
      <c r="H1048" s="1135"/>
      <c r="I1048" s="1135"/>
      <c r="J1048" s="1135"/>
      <c r="K1048" s="1135"/>
      <c r="L1048" s="1135"/>
      <c r="M1048" s="1135"/>
      <c r="N1048" s="1135"/>
      <c r="O1048" s="1135"/>
      <c r="P1048" s="1135"/>
    </row>
    <row r="1049" spans="3:16">
      <c r="C1049" s="1135"/>
      <c r="D1049" s="1135"/>
      <c r="E1049" s="1135"/>
      <c r="F1049" s="1135"/>
      <c r="G1049" s="1135"/>
      <c r="H1049" s="1135"/>
      <c r="I1049" s="1135"/>
      <c r="J1049" s="1135"/>
      <c r="K1049" s="1135"/>
      <c r="L1049" s="1135"/>
      <c r="M1049" s="1135"/>
      <c r="N1049" s="1135"/>
      <c r="O1049" s="1135"/>
      <c r="P1049" s="1135"/>
    </row>
    <row r="1050" spans="3:16">
      <c r="C1050" s="1135"/>
      <c r="D1050" s="1135"/>
      <c r="E1050" s="1135"/>
      <c r="F1050" s="1135"/>
      <c r="G1050" s="1135"/>
      <c r="H1050" s="1135"/>
      <c r="I1050" s="1135"/>
      <c r="J1050" s="1135"/>
      <c r="K1050" s="1135"/>
      <c r="L1050" s="1135"/>
      <c r="M1050" s="1135"/>
      <c r="N1050" s="1135"/>
      <c r="O1050" s="1135"/>
      <c r="P1050" s="1135"/>
    </row>
    <row r="1051" spans="3:16">
      <c r="C1051" s="1135"/>
      <c r="D1051" s="1135"/>
      <c r="E1051" s="1135"/>
      <c r="F1051" s="1135"/>
      <c r="G1051" s="1135"/>
      <c r="H1051" s="1135"/>
      <c r="I1051" s="1135"/>
      <c r="J1051" s="1135"/>
      <c r="K1051" s="1135"/>
      <c r="L1051" s="1135"/>
      <c r="M1051" s="1135"/>
      <c r="N1051" s="1135"/>
      <c r="O1051" s="1135"/>
      <c r="P1051" s="1135"/>
    </row>
    <row r="1052" spans="3:16">
      <c r="C1052" s="1135"/>
      <c r="D1052" s="1135"/>
      <c r="E1052" s="1135"/>
      <c r="F1052" s="1135"/>
      <c r="G1052" s="1135"/>
      <c r="H1052" s="1135"/>
      <c r="I1052" s="1135"/>
      <c r="J1052" s="1135"/>
      <c r="K1052" s="1135"/>
      <c r="L1052" s="1135"/>
      <c r="M1052" s="1135"/>
      <c r="N1052" s="1135"/>
      <c r="O1052" s="1135"/>
      <c r="P1052" s="1135"/>
    </row>
    <row r="1053" spans="3:16">
      <c r="C1053" s="1135"/>
      <c r="D1053" s="1135"/>
      <c r="E1053" s="1135"/>
      <c r="F1053" s="1135"/>
      <c r="G1053" s="1135"/>
      <c r="H1053" s="1135"/>
      <c r="I1053" s="1135"/>
      <c r="J1053" s="1135"/>
      <c r="K1053" s="1135"/>
      <c r="L1053" s="1135"/>
      <c r="M1053" s="1135"/>
      <c r="N1053" s="1135"/>
      <c r="O1053" s="1135"/>
      <c r="P1053" s="1135"/>
    </row>
    <row r="1054" spans="3:16">
      <c r="C1054" s="1135"/>
      <c r="D1054" s="1135"/>
      <c r="E1054" s="1135"/>
      <c r="F1054" s="1135"/>
      <c r="G1054" s="1135"/>
      <c r="H1054" s="1135"/>
      <c r="I1054" s="1135"/>
      <c r="J1054" s="1135"/>
      <c r="K1054" s="1135"/>
      <c r="L1054" s="1135"/>
      <c r="M1054" s="1135"/>
      <c r="N1054" s="1135"/>
      <c r="O1054" s="1135"/>
      <c r="P1054" s="1135"/>
    </row>
    <row r="1055" spans="3:16">
      <c r="C1055" s="1135"/>
      <c r="D1055" s="1135"/>
      <c r="E1055" s="1135"/>
      <c r="F1055" s="1135"/>
      <c r="G1055" s="1135"/>
      <c r="H1055" s="1135"/>
      <c r="I1055" s="1135"/>
      <c r="J1055" s="1135"/>
      <c r="K1055" s="1135"/>
      <c r="L1055" s="1135"/>
      <c r="M1055" s="1135"/>
      <c r="N1055" s="1135"/>
      <c r="O1055" s="1135"/>
      <c r="P1055" s="1135"/>
    </row>
    <row r="1056" spans="3:16">
      <c r="C1056" s="1135"/>
      <c r="D1056" s="1135"/>
      <c r="E1056" s="1135"/>
      <c r="F1056" s="1135"/>
      <c r="G1056" s="1135"/>
      <c r="H1056" s="1135"/>
      <c r="I1056" s="1135"/>
      <c r="J1056" s="1135"/>
      <c r="K1056" s="1135"/>
      <c r="L1056" s="1135"/>
      <c r="M1056" s="1135"/>
      <c r="N1056" s="1135"/>
      <c r="O1056" s="1135"/>
      <c r="P1056" s="1135"/>
    </row>
    <row r="1057" spans="3:16">
      <c r="C1057" s="1135"/>
      <c r="D1057" s="1135"/>
      <c r="E1057" s="1135"/>
      <c r="F1057" s="1135"/>
      <c r="G1057" s="1135"/>
      <c r="H1057" s="1135"/>
      <c r="I1057" s="1135"/>
      <c r="J1057" s="1135"/>
      <c r="K1057" s="1135"/>
      <c r="L1057" s="1135"/>
      <c r="M1057" s="1135"/>
      <c r="N1057" s="1135"/>
      <c r="O1057" s="1135"/>
      <c r="P1057" s="1135"/>
    </row>
    <row r="1058" spans="3:16">
      <c r="C1058" s="1135"/>
      <c r="D1058" s="1135"/>
      <c r="E1058" s="1135"/>
      <c r="F1058" s="1135"/>
      <c r="G1058" s="1135"/>
      <c r="H1058" s="1135"/>
      <c r="I1058" s="1135"/>
      <c r="J1058" s="1135"/>
      <c r="K1058" s="1135"/>
      <c r="L1058" s="1135"/>
      <c r="M1058" s="1135"/>
      <c r="N1058" s="1135"/>
      <c r="O1058" s="1135"/>
      <c r="P1058" s="1135"/>
    </row>
    <row r="1059" spans="3:16">
      <c r="C1059" s="1135"/>
      <c r="D1059" s="1135"/>
      <c r="E1059" s="1135"/>
      <c r="F1059" s="1135"/>
      <c r="G1059" s="1135"/>
      <c r="H1059" s="1135"/>
      <c r="I1059" s="1135"/>
      <c r="J1059" s="1135"/>
      <c r="K1059" s="1135"/>
      <c r="L1059" s="1135"/>
      <c r="M1059" s="1135"/>
      <c r="N1059" s="1135"/>
      <c r="O1059" s="1135"/>
      <c r="P1059" s="1135"/>
    </row>
    <row r="1060" spans="3:16">
      <c r="C1060" s="1135"/>
      <c r="D1060" s="1135"/>
      <c r="E1060" s="1135"/>
      <c r="F1060" s="1135"/>
      <c r="G1060" s="1135"/>
      <c r="H1060" s="1135"/>
      <c r="I1060" s="1135"/>
      <c r="J1060" s="1135"/>
      <c r="K1060" s="1135"/>
      <c r="L1060" s="1135"/>
      <c r="M1060" s="1135"/>
      <c r="N1060" s="1135"/>
      <c r="O1060" s="1135"/>
      <c r="P1060" s="1135"/>
    </row>
    <row r="1061" spans="3:16">
      <c r="C1061" s="1135"/>
      <c r="D1061" s="1135"/>
      <c r="E1061" s="1135"/>
      <c r="F1061" s="1135"/>
      <c r="G1061" s="1135"/>
      <c r="H1061" s="1135"/>
      <c r="I1061" s="1135"/>
      <c r="J1061" s="1135"/>
      <c r="K1061" s="1135"/>
      <c r="L1061" s="1135"/>
      <c r="M1061" s="1135"/>
      <c r="N1061" s="1135"/>
      <c r="O1061" s="1135"/>
      <c r="P1061" s="1135"/>
    </row>
    <row r="1062" spans="3:16">
      <c r="C1062" s="1135"/>
      <c r="D1062" s="1135"/>
      <c r="E1062" s="1135"/>
      <c r="F1062" s="1135"/>
      <c r="G1062" s="1135"/>
      <c r="H1062" s="1135"/>
      <c r="I1062" s="1135"/>
      <c r="J1062" s="1135"/>
      <c r="K1062" s="1135"/>
      <c r="L1062" s="1135"/>
      <c r="M1062" s="1135"/>
      <c r="N1062" s="1135"/>
      <c r="O1062" s="1135"/>
      <c r="P1062" s="1135"/>
    </row>
    <row r="1063" spans="3:16">
      <c r="C1063" s="1135"/>
      <c r="D1063" s="1135"/>
      <c r="E1063" s="1135"/>
      <c r="F1063" s="1135"/>
      <c r="G1063" s="1135"/>
      <c r="H1063" s="1135"/>
      <c r="I1063" s="1135"/>
      <c r="J1063" s="1135"/>
      <c r="K1063" s="1135"/>
      <c r="L1063" s="1135"/>
      <c r="M1063" s="1135"/>
      <c r="N1063" s="1135"/>
      <c r="O1063" s="1135"/>
      <c r="P1063" s="1135"/>
    </row>
    <row r="1064" spans="3:16">
      <c r="C1064" s="1135"/>
      <c r="D1064" s="1135"/>
      <c r="E1064" s="1135"/>
      <c r="F1064" s="1135"/>
      <c r="G1064" s="1135"/>
      <c r="H1064" s="1135"/>
      <c r="I1064" s="1135"/>
      <c r="J1064" s="1135"/>
      <c r="K1064" s="1135"/>
      <c r="L1064" s="1135"/>
      <c r="M1064" s="1135"/>
      <c r="N1064" s="1135"/>
      <c r="O1064" s="1135"/>
      <c r="P1064" s="1135"/>
    </row>
    <row r="1065" spans="3:16">
      <c r="C1065" s="1135"/>
      <c r="D1065" s="1135"/>
      <c r="E1065" s="1135"/>
      <c r="F1065" s="1135"/>
      <c r="G1065" s="1135"/>
      <c r="H1065" s="1135"/>
      <c r="I1065" s="1135"/>
      <c r="J1065" s="1135"/>
      <c r="K1065" s="1135"/>
      <c r="L1065" s="1135"/>
      <c r="M1065" s="1135"/>
      <c r="N1065" s="1135"/>
      <c r="O1065" s="1135"/>
      <c r="P1065" s="1135"/>
    </row>
    <row r="1066" spans="3:16">
      <c r="C1066" s="1135"/>
      <c r="D1066" s="1135"/>
      <c r="E1066" s="1135"/>
      <c r="F1066" s="1135"/>
      <c r="G1066" s="1135"/>
      <c r="H1066" s="1135"/>
      <c r="I1066" s="1135"/>
      <c r="J1066" s="1135"/>
      <c r="K1066" s="1135"/>
      <c r="L1066" s="1135"/>
      <c r="M1066" s="1135"/>
      <c r="N1066" s="1135"/>
      <c r="O1066" s="1135"/>
      <c r="P1066" s="1135"/>
    </row>
    <row r="1067" spans="3:16">
      <c r="C1067" s="1135"/>
      <c r="D1067" s="1135"/>
      <c r="E1067" s="1135"/>
      <c r="F1067" s="1135"/>
      <c r="G1067" s="1135"/>
      <c r="H1067" s="1135"/>
      <c r="I1067" s="1135"/>
      <c r="J1067" s="1135"/>
      <c r="K1067" s="1135"/>
      <c r="L1067" s="1135"/>
      <c r="M1067" s="1135"/>
      <c r="N1067" s="1135"/>
      <c r="O1067" s="1135"/>
      <c r="P1067" s="1135"/>
    </row>
    <row r="1068" spans="3:16">
      <c r="C1068" s="1135"/>
      <c r="D1068" s="1135"/>
      <c r="E1068" s="1135"/>
      <c r="F1068" s="1135"/>
      <c r="G1068" s="1135"/>
      <c r="H1068" s="1135"/>
      <c r="I1068" s="1135"/>
      <c r="J1068" s="1135"/>
      <c r="K1068" s="1135"/>
      <c r="L1068" s="1135"/>
      <c r="M1068" s="1135"/>
      <c r="N1068" s="1135"/>
      <c r="O1068" s="1135"/>
      <c r="P1068" s="1135"/>
    </row>
    <row r="1069" spans="3:16">
      <c r="C1069" s="1135"/>
      <c r="D1069" s="1135"/>
      <c r="E1069" s="1135"/>
      <c r="F1069" s="1135"/>
      <c r="G1069" s="1135"/>
      <c r="H1069" s="1135"/>
      <c r="I1069" s="1135"/>
      <c r="J1069" s="1135"/>
      <c r="K1069" s="1135"/>
      <c r="L1069" s="1135"/>
      <c r="M1069" s="1135"/>
      <c r="N1069" s="1135"/>
      <c r="O1069" s="1135"/>
      <c r="P1069" s="1135"/>
    </row>
    <row r="1070" spans="3:16">
      <c r="C1070" s="1135"/>
      <c r="D1070" s="1135"/>
      <c r="E1070" s="1135"/>
      <c r="F1070" s="1135"/>
      <c r="G1070" s="1135"/>
      <c r="H1070" s="1135"/>
      <c r="I1070" s="1135"/>
      <c r="J1070" s="1135"/>
      <c r="K1070" s="1135"/>
      <c r="L1070" s="1135"/>
      <c r="M1070" s="1135"/>
      <c r="N1070" s="1135"/>
      <c r="O1070" s="1135"/>
      <c r="P1070" s="1135"/>
    </row>
    <row r="1071" spans="3:16">
      <c r="C1071" s="1135"/>
      <c r="D1071" s="1135"/>
      <c r="E1071" s="1135"/>
      <c r="F1071" s="1135"/>
      <c r="G1071" s="1135"/>
      <c r="H1071" s="1135"/>
      <c r="I1071" s="1135"/>
      <c r="J1071" s="1135"/>
      <c r="K1071" s="1135"/>
      <c r="L1071" s="1135"/>
      <c r="M1071" s="1135"/>
      <c r="N1071" s="1135"/>
      <c r="O1071" s="1135"/>
      <c r="P1071" s="1135"/>
    </row>
    <row r="1072" spans="3:16">
      <c r="C1072" s="1135"/>
      <c r="D1072" s="1135"/>
      <c r="E1072" s="1135"/>
      <c r="F1072" s="1135"/>
      <c r="G1072" s="1135"/>
      <c r="H1072" s="1135"/>
      <c r="I1072" s="1135"/>
      <c r="J1072" s="1135"/>
      <c r="K1072" s="1135"/>
      <c r="L1072" s="1135"/>
      <c r="M1072" s="1135"/>
      <c r="N1072" s="1135"/>
      <c r="O1072" s="1135"/>
      <c r="P1072" s="1135"/>
    </row>
    <row r="1073" spans="3:16">
      <c r="C1073" s="1135"/>
      <c r="D1073" s="1135"/>
      <c r="E1073" s="1135"/>
      <c r="F1073" s="1135"/>
      <c r="G1073" s="1135"/>
      <c r="H1073" s="1135"/>
      <c r="I1073" s="1135"/>
      <c r="J1073" s="1135"/>
      <c r="K1073" s="1135"/>
      <c r="L1073" s="1135"/>
      <c r="M1073" s="1135"/>
      <c r="N1073" s="1135"/>
      <c r="O1073" s="1135"/>
      <c r="P1073" s="1135"/>
    </row>
    <row r="1074" spans="3:16">
      <c r="C1074" s="1135"/>
      <c r="D1074" s="1135"/>
      <c r="E1074" s="1135"/>
      <c r="F1074" s="1135"/>
      <c r="G1074" s="1135"/>
      <c r="H1074" s="1135"/>
      <c r="I1074" s="1135"/>
      <c r="J1074" s="1135"/>
      <c r="K1074" s="1135"/>
      <c r="L1074" s="1135"/>
      <c r="M1074" s="1135"/>
      <c r="N1074" s="1135"/>
      <c r="O1074" s="1135"/>
      <c r="P1074" s="1135"/>
    </row>
    <row r="1075" spans="3:16">
      <c r="C1075" s="1135"/>
      <c r="D1075" s="1135"/>
      <c r="E1075" s="1135"/>
      <c r="F1075" s="1135"/>
      <c r="G1075" s="1135"/>
      <c r="H1075" s="1135"/>
      <c r="I1075" s="1135"/>
      <c r="J1075" s="1135"/>
      <c r="K1075" s="1135"/>
      <c r="L1075" s="1135"/>
      <c r="M1075" s="1135"/>
      <c r="N1075" s="1135"/>
      <c r="O1075" s="1135"/>
      <c r="P1075" s="1135"/>
    </row>
    <row r="1076" spans="3:16">
      <c r="C1076" s="1135"/>
      <c r="D1076" s="1135"/>
      <c r="E1076" s="1135"/>
      <c r="F1076" s="1135"/>
      <c r="G1076" s="1135"/>
      <c r="H1076" s="1135"/>
      <c r="I1076" s="1135"/>
      <c r="J1076" s="1135"/>
      <c r="K1076" s="1135"/>
      <c r="L1076" s="1135"/>
      <c r="M1076" s="1135"/>
      <c r="N1076" s="1135"/>
      <c r="O1076" s="1135"/>
      <c r="P1076" s="1135"/>
    </row>
    <row r="1077" spans="3:16">
      <c r="C1077" s="1135"/>
      <c r="D1077" s="1135"/>
      <c r="E1077" s="1135"/>
      <c r="F1077" s="1135"/>
      <c r="G1077" s="1135"/>
      <c r="H1077" s="1135"/>
      <c r="I1077" s="1135"/>
      <c r="J1077" s="1135"/>
      <c r="K1077" s="1135"/>
      <c r="L1077" s="1135"/>
      <c r="M1077" s="1135"/>
      <c r="N1077" s="1135"/>
      <c r="O1077" s="1135"/>
      <c r="P1077" s="1135"/>
    </row>
    <row r="1078" spans="3:16">
      <c r="C1078" s="1135"/>
      <c r="D1078" s="1135"/>
      <c r="E1078" s="1135"/>
      <c r="F1078" s="1135"/>
      <c r="G1078" s="1135"/>
      <c r="H1078" s="1135"/>
      <c r="I1078" s="1135"/>
      <c r="J1078" s="1135"/>
      <c r="K1078" s="1135"/>
      <c r="L1078" s="1135"/>
      <c r="M1078" s="1135"/>
      <c r="N1078" s="1135"/>
      <c r="O1078" s="1135"/>
      <c r="P1078" s="1135"/>
    </row>
    <row r="1079" spans="3:16">
      <c r="C1079" s="1135"/>
      <c r="D1079" s="1135"/>
      <c r="E1079" s="1135"/>
      <c r="F1079" s="1135"/>
      <c r="G1079" s="1135"/>
      <c r="H1079" s="1135"/>
      <c r="I1079" s="1135"/>
      <c r="J1079" s="1135"/>
      <c r="K1079" s="1135"/>
      <c r="L1079" s="1135"/>
      <c r="M1079" s="1135"/>
      <c r="N1079" s="1135"/>
      <c r="O1079" s="1135"/>
      <c r="P1079" s="1135"/>
    </row>
    <row r="1080" spans="3:16">
      <c r="C1080" s="1135"/>
      <c r="D1080" s="1135"/>
      <c r="E1080" s="1135"/>
      <c r="F1080" s="1135"/>
      <c r="G1080" s="1135"/>
      <c r="H1080" s="1135"/>
      <c r="I1080" s="1135"/>
      <c r="J1080" s="1135"/>
      <c r="K1080" s="1135"/>
      <c r="L1080" s="1135"/>
      <c r="M1080" s="1135"/>
      <c r="N1080" s="1135"/>
      <c r="O1080" s="1135"/>
      <c r="P1080" s="1135"/>
    </row>
    <row r="1081" spans="3:16">
      <c r="C1081" s="1135"/>
      <c r="D1081" s="1135"/>
      <c r="E1081" s="1135"/>
      <c r="F1081" s="1135"/>
      <c r="G1081" s="1135"/>
      <c r="H1081" s="1135"/>
      <c r="I1081" s="1135"/>
      <c r="J1081" s="1135"/>
      <c r="K1081" s="1135"/>
      <c r="L1081" s="1135"/>
      <c r="M1081" s="1135"/>
      <c r="N1081" s="1135"/>
      <c r="O1081" s="1135"/>
      <c r="P1081" s="1135"/>
    </row>
    <row r="1082" spans="3:16">
      <c r="C1082" s="1135"/>
      <c r="D1082" s="1135"/>
      <c r="E1082" s="1135"/>
      <c r="F1082" s="1135"/>
      <c r="G1082" s="1135"/>
      <c r="H1082" s="1135"/>
      <c r="I1082" s="1135"/>
      <c r="J1082" s="1135"/>
      <c r="K1082" s="1135"/>
      <c r="L1082" s="1135"/>
      <c r="M1082" s="1135"/>
      <c r="N1082" s="1135"/>
      <c r="O1082" s="1135"/>
      <c r="P1082" s="1135"/>
    </row>
    <row r="1083" spans="3:16">
      <c r="C1083" s="1135"/>
      <c r="D1083" s="1135"/>
      <c r="E1083" s="1135"/>
      <c r="F1083" s="1135"/>
      <c r="G1083" s="1135"/>
      <c r="H1083" s="1135"/>
      <c r="I1083" s="1135"/>
      <c r="J1083" s="1135"/>
      <c r="K1083" s="1135"/>
      <c r="L1083" s="1135"/>
      <c r="M1083" s="1135"/>
      <c r="N1083" s="1135"/>
      <c r="O1083" s="1135"/>
      <c r="P1083" s="1135"/>
    </row>
    <row r="1084" spans="3:16">
      <c r="C1084" s="1135"/>
      <c r="D1084" s="1135"/>
      <c r="E1084" s="1135"/>
      <c r="F1084" s="1135"/>
      <c r="G1084" s="1135"/>
      <c r="H1084" s="1135"/>
      <c r="I1084" s="1135"/>
      <c r="J1084" s="1135"/>
      <c r="K1084" s="1135"/>
      <c r="L1084" s="1135"/>
      <c r="M1084" s="1135"/>
      <c r="N1084" s="1135"/>
      <c r="O1084" s="1135"/>
      <c r="P1084" s="1135"/>
    </row>
    <row r="1085" spans="3:16">
      <c r="C1085" s="1135"/>
      <c r="D1085" s="1135"/>
      <c r="E1085" s="1135"/>
      <c r="F1085" s="1135"/>
      <c r="G1085" s="1135"/>
      <c r="H1085" s="1135"/>
      <c r="I1085" s="1135"/>
      <c r="J1085" s="1135"/>
      <c r="K1085" s="1135"/>
      <c r="L1085" s="1135"/>
      <c r="M1085" s="1135"/>
      <c r="N1085" s="1135"/>
      <c r="O1085" s="1135"/>
      <c r="P1085" s="1135"/>
    </row>
    <row r="1086" spans="3:16">
      <c r="C1086" s="1135"/>
      <c r="D1086" s="1135"/>
      <c r="E1086" s="1135"/>
      <c r="F1086" s="1135"/>
      <c r="G1086" s="1135"/>
      <c r="H1086" s="1135"/>
      <c r="I1086" s="1135"/>
      <c r="J1086" s="1135"/>
      <c r="K1086" s="1135"/>
      <c r="L1086" s="1135"/>
      <c r="M1086" s="1135"/>
      <c r="N1086" s="1135"/>
      <c r="O1086" s="1135"/>
      <c r="P1086" s="1135"/>
    </row>
    <row r="1087" spans="3:16">
      <c r="C1087" s="1135"/>
      <c r="D1087" s="1135"/>
      <c r="E1087" s="1135"/>
      <c r="F1087" s="1135"/>
      <c r="G1087" s="1135"/>
      <c r="H1087" s="1135"/>
      <c r="I1087" s="1135"/>
      <c r="J1087" s="1135"/>
      <c r="K1087" s="1135"/>
      <c r="L1087" s="1135"/>
      <c r="M1087" s="1135"/>
      <c r="N1087" s="1135"/>
      <c r="O1087" s="1135"/>
      <c r="P1087" s="1135"/>
    </row>
    <row r="1088" spans="3:16">
      <c r="C1088" s="1135"/>
      <c r="D1088" s="1135"/>
      <c r="E1088" s="1135"/>
      <c r="F1088" s="1135"/>
      <c r="G1088" s="1135"/>
      <c r="H1088" s="1135"/>
      <c r="I1088" s="1135"/>
      <c r="J1088" s="1135"/>
      <c r="K1088" s="1135"/>
      <c r="L1088" s="1135"/>
      <c r="M1088" s="1135"/>
      <c r="N1088" s="1135"/>
      <c r="O1088" s="1135"/>
      <c r="P1088" s="1135"/>
    </row>
    <row r="1089" spans="3:16">
      <c r="C1089" s="1135"/>
      <c r="D1089" s="1135"/>
      <c r="E1089" s="1135"/>
      <c r="F1089" s="1135"/>
      <c r="G1089" s="1135"/>
      <c r="H1089" s="1135"/>
      <c r="I1089" s="1135"/>
      <c r="J1089" s="1135"/>
      <c r="K1089" s="1135"/>
      <c r="L1089" s="1135"/>
      <c r="M1089" s="1135"/>
      <c r="N1089" s="1135"/>
      <c r="O1089" s="1135"/>
      <c r="P1089" s="1135"/>
    </row>
    <row r="1090" spans="3:16">
      <c r="C1090" s="1135"/>
      <c r="D1090" s="1135"/>
      <c r="E1090" s="1135"/>
      <c r="F1090" s="1135"/>
      <c r="G1090" s="1135"/>
      <c r="H1090" s="1135"/>
      <c r="I1090" s="1135"/>
      <c r="J1090" s="1135"/>
      <c r="K1090" s="1135"/>
      <c r="L1090" s="1135"/>
      <c r="M1090" s="1135"/>
      <c r="N1090" s="1135"/>
      <c r="O1090" s="1135"/>
      <c r="P1090" s="1135"/>
    </row>
    <row r="1091" spans="3:16">
      <c r="C1091" s="1135"/>
      <c r="D1091" s="1135"/>
      <c r="E1091" s="1135"/>
      <c r="F1091" s="1135"/>
      <c r="G1091" s="1135"/>
      <c r="H1091" s="1135"/>
      <c r="I1091" s="1135"/>
      <c r="J1091" s="1135"/>
      <c r="K1091" s="1135"/>
      <c r="L1091" s="1135"/>
      <c r="M1091" s="1135"/>
      <c r="N1091" s="1135"/>
      <c r="O1091" s="1135"/>
      <c r="P1091" s="1135"/>
    </row>
    <row r="1092" spans="3:16">
      <c r="C1092" s="1135"/>
      <c r="D1092" s="1135"/>
      <c r="E1092" s="1135"/>
      <c r="F1092" s="1135"/>
      <c r="G1092" s="1135"/>
      <c r="H1092" s="1135"/>
      <c r="I1092" s="1135"/>
      <c r="J1092" s="1135"/>
      <c r="K1092" s="1135"/>
      <c r="L1092" s="1135"/>
      <c r="M1092" s="1135"/>
      <c r="N1092" s="1135"/>
      <c r="O1092" s="1135"/>
      <c r="P1092" s="1135"/>
    </row>
    <row r="1093" spans="3:16">
      <c r="C1093" s="1135"/>
      <c r="D1093" s="1135"/>
      <c r="E1093" s="1135"/>
      <c r="F1093" s="1135"/>
      <c r="G1093" s="1135"/>
      <c r="H1093" s="1135"/>
      <c r="I1093" s="1135"/>
      <c r="J1093" s="1135"/>
      <c r="K1093" s="1135"/>
      <c r="L1093" s="1135"/>
      <c r="M1093" s="1135"/>
      <c r="N1093" s="1135"/>
      <c r="O1093" s="1135"/>
      <c r="P1093" s="1135"/>
    </row>
    <row r="1094" spans="3:16">
      <c r="C1094" s="1135"/>
      <c r="D1094" s="1135"/>
      <c r="E1094" s="1135"/>
      <c r="F1094" s="1135"/>
      <c r="G1094" s="1135"/>
      <c r="H1094" s="1135"/>
      <c r="I1094" s="1135"/>
      <c r="J1094" s="1135"/>
      <c r="K1094" s="1135"/>
      <c r="L1094" s="1135"/>
      <c r="M1094" s="1135"/>
      <c r="N1094" s="1135"/>
      <c r="O1094" s="1135"/>
      <c r="P1094" s="1135"/>
    </row>
    <row r="1095" spans="3:16">
      <c r="C1095" s="1135"/>
      <c r="D1095" s="1135"/>
      <c r="E1095" s="1135"/>
      <c r="F1095" s="1135"/>
      <c r="G1095" s="1135"/>
      <c r="H1095" s="1135"/>
      <c r="I1095" s="1135"/>
      <c r="J1095" s="1135"/>
      <c r="K1095" s="1135"/>
      <c r="L1095" s="1135"/>
      <c r="M1095" s="1135"/>
      <c r="N1095" s="1135"/>
      <c r="O1095" s="1135"/>
      <c r="P1095" s="1135"/>
    </row>
    <row r="1096" spans="3:16">
      <c r="C1096" s="1135"/>
      <c r="D1096" s="1135"/>
      <c r="E1096" s="1135"/>
      <c r="F1096" s="1135"/>
      <c r="G1096" s="1135"/>
      <c r="H1096" s="1135"/>
      <c r="I1096" s="1135"/>
      <c r="J1096" s="1135"/>
      <c r="K1096" s="1135"/>
      <c r="L1096" s="1135"/>
      <c r="M1096" s="1135"/>
      <c r="N1096" s="1135"/>
      <c r="O1096" s="1135"/>
      <c r="P1096" s="1135"/>
    </row>
    <row r="1097" spans="3:16">
      <c r="C1097" s="1135"/>
      <c r="D1097" s="1135"/>
      <c r="E1097" s="1135"/>
      <c r="F1097" s="1135"/>
      <c r="G1097" s="1135"/>
      <c r="H1097" s="1135"/>
      <c r="I1097" s="1135"/>
      <c r="J1097" s="1135"/>
      <c r="K1097" s="1135"/>
      <c r="L1097" s="1135"/>
      <c r="M1097" s="1135"/>
      <c r="N1097" s="1135"/>
      <c r="O1097" s="1135"/>
      <c r="P1097" s="1135"/>
    </row>
    <row r="1098" spans="3:16">
      <c r="C1098" s="1135"/>
      <c r="D1098" s="1135"/>
      <c r="E1098" s="1135"/>
      <c r="F1098" s="1135"/>
      <c r="G1098" s="1135"/>
      <c r="H1098" s="1135"/>
      <c r="I1098" s="1135"/>
      <c r="J1098" s="1135"/>
      <c r="K1098" s="1135"/>
      <c r="L1098" s="1135"/>
      <c r="M1098" s="1135"/>
      <c r="N1098" s="1135"/>
      <c r="O1098" s="1135"/>
      <c r="P1098" s="1135"/>
    </row>
    <row r="1099" spans="3:16">
      <c r="C1099" s="1135"/>
      <c r="D1099" s="1135"/>
      <c r="E1099" s="1135"/>
      <c r="F1099" s="1135"/>
      <c r="G1099" s="1135"/>
      <c r="H1099" s="1135"/>
      <c r="I1099" s="1135"/>
      <c r="J1099" s="1135"/>
      <c r="K1099" s="1135"/>
      <c r="L1099" s="1135"/>
      <c r="M1099" s="1135"/>
      <c r="N1099" s="1135"/>
      <c r="O1099" s="1135"/>
      <c r="P1099" s="1135"/>
    </row>
    <row r="1100" spans="3:16">
      <c r="C1100" s="1135"/>
      <c r="D1100" s="1135"/>
      <c r="E1100" s="1135"/>
      <c r="F1100" s="1135"/>
      <c r="G1100" s="1135"/>
      <c r="H1100" s="1135"/>
      <c r="I1100" s="1135"/>
      <c r="J1100" s="1135"/>
      <c r="K1100" s="1135"/>
      <c r="L1100" s="1135"/>
      <c r="M1100" s="1135"/>
      <c r="N1100" s="1135"/>
      <c r="O1100" s="1135"/>
      <c r="P1100" s="1135"/>
    </row>
    <row r="1101" spans="3:16">
      <c r="C1101" s="1135"/>
      <c r="D1101" s="1135"/>
      <c r="E1101" s="1135"/>
      <c r="F1101" s="1135"/>
      <c r="G1101" s="1135"/>
      <c r="H1101" s="1135"/>
      <c r="I1101" s="1135"/>
      <c r="J1101" s="1135"/>
      <c r="K1101" s="1135"/>
      <c r="L1101" s="1135"/>
      <c r="M1101" s="1135"/>
      <c r="N1101" s="1135"/>
      <c r="O1101" s="1135"/>
      <c r="P1101" s="1135"/>
    </row>
    <row r="1102" spans="3:16">
      <c r="C1102" s="1135"/>
      <c r="D1102" s="1135"/>
      <c r="E1102" s="1135"/>
      <c r="F1102" s="1135"/>
      <c r="G1102" s="1135"/>
      <c r="H1102" s="1135"/>
      <c r="I1102" s="1135"/>
      <c r="J1102" s="1135"/>
      <c r="K1102" s="1135"/>
      <c r="L1102" s="1135"/>
      <c r="M1102" s="1135"/>
      <c r="N1102" s="1135"/>
      <c r="O1102" s="1135"/>
      <c r="P1102" s="1135"/>
    </row>
    <row r="1103" spans="3:16">
      <c r="C1103" s="1135"/>
      <c r="D1103" s="1135"/>
      <c r="E1103" s="1135"/>
      <c r="F1103" s="1135"/>
      <c r="G1103" s="1135"/>
      <c r="H1103" s="1135"/>
      <c r="I1103" s="1135"/>
      <c r="J1103" s="1135"/>
      <c r="K1103" s="1135"/>
      <c r="L1103" s="1135"/>
      <c r="M1103" s="1135"/>
      <c r="N1103" s="1135"/>
      <c r="O1103" s="1135"/>
      <c r="P1103" s="1135"/>
    </row>
    <row r="1104" spans="3:16">
      <c r="C1104" s="1135"/>
      <c r="D1104" s="1135"/>
      <c r="E1104" s="1135"/>
      <c r="F1104" s="1135"/>
      <c r="G1104" s="1135"/>
      <c r="H1104" s="1135"/>
      <c r="I1104" s="1135"/>
      <c r="J1104" s="1135"/>
      <c r="K1104" s="1135"/>
      <c r="L1104" s="1135"/>
      <c r="M1104" s="1135"/>
      <c r="N1104" s="1135"/>
      <c r="O1104" s="1135"/>
      <c r="P1104" s="1135"/>
    </row>
    <row r="1105" spans="3:16">
      <c r="C1105" s="1135"/>
      <c r="D1105" s="1135"/>
      <c r="E1105" s="1135"/>
      <c r="F1105" s="1135"/>
      <c r="G1105" s="1135"/>
      <c r="H1105" s="1135"/>
      <c r="I1105" s="1135"/>
      <c r="J1105" s="1135"/>
      <c r="K1105" s="1135"/>
      <c r="L1105" s="1135"/>
      <c r="M1105" s="1135"/>
      <c r="N1105" s="1135"/>
      <c r="O1105" s="1135"/>
      <c r="P1105" s="1135"/>
    </row>
    <row r="1106" spans="3:16">
      <c r="C1106" s="1135"/>
      <c r="D1106" s="1135"/>
      <c r="E1106" s="1135"/>
      <c r="F1106" s="1135"/>
      <c r="G1106" s="1135"/>
      <c r="H1106" s="1135"/>
      <c r="I1106" s="1135"/>
      <c r="J1106" s="1135"/>
      <c r="K1106" s="1135"/>
      <c r="L1106" s="1135"/>
      <c r="M1106" s="1135"/>
      <c r="N1106" s="1135"/>
      <c r="O1106" s="1135"/>
      <c r="P1106" s="1135"/>
    </row>
    <row r="1107" spans="3:16">
      <c r="C1107" s="1135"/>
      <c r="D1107" s="1135"/>
      <c r="E1107" s="1135"/>
      <c r="F1107" s="1135"/>
      <c r="G1107" s="1135"/>
      <c r="H1107" s="1135"/>
      <c r="I1107" s="1135"/>
      <c r="J1107" s="1135"/>
      <c r="K1107" s="1135"/>
      <c r="L1107" s="1135"/>
      <c r="M1107" s="1135"/>
      <c r="N1107" s="1135"/>
      <c r="O1107" s="1135"/>
      <c r="P1107" s="1135"/>
    </row>
    <row r="1108" spans="3:16">
      <c r="C1108" s="1135"/>
      <c r="D1108" s="1135"/>
      <c r="E1108" s="1135"/>
      <c r="F1108" s="1135"/>
      <c r="G1108" s="1135"/>
      <c r="H1108" s="1135"/>
      <c r="I1108" s="1135"/>
      <c r="J1108" s="1135"/>
      <c r="K1108" s="1135"/>
      <c r="L1108" s="1135"/>
      <c r="M1108" s="1135"/>
      <c r="N1108" s="1135"/>
      <c r="O1108" s="1135"/>
      <c r="P1108" s="1135"/>
    </row>
    <row r="1109" spans="3:16">
      <c r="C1109" s="1135"/>
      <c r="D1109" s="1135"/>
      <c r="E1109" s="1135"/>
      <c r="F1109" s="1135"/>
      <c r="G1109" s="1135"/>
      <c r="H1109" s="1135"/>
      <c r="I1109" s="1135"/>
      <c r="J1109" s="1135"/>
      <c r="K1109" s="1135"/>
      <c r="L1109" s="1135"/>
      <c r="M1109" s="1135"/>
      <c r="N1109" s="1135"/>
      <c r="O1109" s="1135"/>
      <c r="P1109" s="1135"/>
    </row>
    <row r="1110" spans="3:16">
      <c r="C1110" s="1135"/>
      <c r="D1110" s="1135"/>
      <c r="E1110" s="1135"/>
      <c r="F1110" s="1135"/>
      <c r="G1110" s="1135"/>
      <c r="H1110" s="1135"/>
      <c r="I1110" s="1135"/>
      <c r="J1110" s="1135"/>
      <c r="K1110" s="1135"/>
      <c r="L1110" s="1135"/>
      <c r="M1110" s="1135"/>
      <c r="N1110" s="1135"/>
      <c r="O1110" s="1135"/>
      <c r="P1110" s="1135"/>
    </row>
    <row r="1111" spans="3:16">
      <c r="C1111" s="1135"/>
      <c r="D1111" s="1135"/>
      <c r="E1111" s="1135"/>
      <c r="F1111" s="1135"/>
      <c r="G1111" s="1135"/>
      <c r="H1111" s="1135"/>
      <c r="I1111" s="1135"/>
      <c r="J1111" s="1135"/>
      <c r="K1111" s="1135"/>
      <c r="L1111" s="1135"/>
      <c r="M1111" s="1135"/>
      <c r="N1111" s="1135"/>
      <c r="O1111" s="1135"/>
      <c r="P1111" s="1135"/>
    </row>
    <row r="1112" spans="3:16">
      <c r="C1112" s="1135"/>
      <c r="D1112" s="1135"/>
      <c r="E1112" s="1135"/>
      <c r="F1112" s="1135"/>
      <c r="G1112" s="1135"/>
      <c r="H1112" s="1135"/>
      <c r="I1112" s="1135"/>
      <c r="J1112" s="1135"/>
      <c r="K1112" s="1135"/>
      <c r="L1112" s="1135"/>
      <c r="M1112" s="1135"/>
      <c r="N1112" s="1135"/>
      <c r="O1112" s="1135"/>
      <c r="P1112" s="1135"/>
    </row>
    <row r="1113" spans="3:16">
      <c r="C1113" s="1135"/>
      <c r="D1113" s="1135"/>
      <c r="E1113" s="1135"/>
      <c r="F1113" s="1135"/>
      <c r="G1113" s="1135"/>
      <c r="H1113" s="1135"/>
      <c r="I1113" s="1135"/>
      <c r="J1113" s="1135"/>
      <c r="K1113" s="1135"/>
      <c r="L1113" s="1135"/>
      <c r="M1113" s="1135"/>
      <c r="N1113" s="1135"/>
      <c r="O1113" s="1135"/>
      <c r="P1113" s="1135"/>
    </row>
    <row r="1114" spans="3:16">
      <c r="C1114" s="1135"/>
      <c r="D1114" s="1135"/>
      <c r="E1114" s="1135"/>
      <c r="F1114" s="1135"/>
      <c r="G1114" s="1135"/>
      <c r="H1114" s="1135"/>
      <c r="I1114" s="1135"/>
      <c r="J1114" s="1135"/>
      <c r="K1114" s="1135"/>
      <c r="L1114" s="1135"/>
      <c r="M1114" s="1135"/>
      <c r="N1114" s="1135"/>
      <c r="O1114" s="1135"/>
      <c r="P1114" s="1135"/>
    </row>
    <row r="1115" spans="3:16">
      <c r="C1115" s="1135"/>
      <c r="D1115" s="1135"/>
      <c r="E1115" s="1135"/>
      <c r="F1115" s="1135"/>
      <c r="G1115" s="1135"/>
      <c r="H1115" s="1135"/>
      <c r="I1115" s="1135"/>
      <c r="J1115" s="1135"/>
      <c r="K1115" s="1135"/>
      <c r="L1115" s="1135"/>
      <c r="M1115" s="1135"/>
      <c r="N1115" s="1135"/>
      <c r="O1115" s="1135"/>
      <c r="P1115" s="1135"/>
    </row>
    <row r="1116" spans="3:16">
      <c r="C1116" s="1135"/>
      <c r="D1116" s="1135"/>
      <c r="E1116" s="1135"/>
      <c r="F1116" s="1135"/>
      <c r="G1116" s="1135"/>
      <c r="H1116" s="1135"/>
      <c r="I1116" s="1135"/>
      <c r="J1116" s="1135"/>
      <c r="K1116" s="1135"/>
      <c r="L1116" s="1135"/>
      <c r="M1116" s="1135"/>
      <c r="N1116" s="1135"/>
      <c r="O1116" s="1135"/>
      <c r="P1116" s="1135"/>
    </row>
    <row r="1117" spans="3:16">
      <c r="C1117" s="1135"/>
      <c r="D1117" s="1135"/>
      <c r="E1117" s="1135"/>
      <c r="F1117" s="1135"/>
      <c r="G1117" s="1135"/>
      <c r="H1117" s="1135"/>
      <c r="I1117" s="1135"/>
      <c r="J1117" s="1135"/>
      <c r="K1117" s="1135"/>
      <c r="L1117" s="1135"/>
      <c r="M1117" s="1135"/>
      <c r="N1117" s="1135"/>
      <c r="O1117" s="1135"/>
      <c r="P1117" s="1135"/>
    </row>
    <row r="1118" spans="3:16">
      <c r="C1118" s="1135"/>
      <c r="D1118" s="1135"/>
      <c r="E1118" s="1135"/>
      <c r="F1118" s="1135"/>
      <c r="G1118" s="1135"/>
      <c r="H1118" s="1135"/>
      <c r="I1118" s="1135"/>
      <c r="J1118" s="1135"/>
      <c r="K1118" s="1135"/>
      <c r="L1118" s="1135"/>
      <c r="M1118" s="1135"/>
      <c r="N1118" s="1135"/>
      <c r="O1118" s="1135"/>
      <c r="P1118" s="1135"/>
    </row>
    <row r="1119" spans="3:16">
      <c r="C1119" s="1135"/>
      <c r="D1119" s="1135"/>
      <c r="E1119" s="1135"/>
      <c r="F1119" s="1135"/>
      <c r="G1119" s="1135"/>
      <c r="H1119" s="1135"/>
      <c r="I1119" s="1135"/>
      <c r="J1119" s="1135"/>
      <c r="K1119" s="1135"/>
      <c r="L1119" s="1135"/>
      <c r="M1119" s="1135"/>
      <c r="N1119" s="1135"/>
      <c r="O1119" s="1135"/>
      <c r="P1119" s="1135"/>
    </row>
    <row r="1120" spans="3:16">
      <c r="C1120" s="1135"/>
      <c r="D1120" s="1135"/>
      <c r="E1120" s="1135"/>
      <c r="F1120" s="1135"/>
      <c r="G1120" s="1135"/>
      <c r="H1120" s="1135"/>
      <c r="I1120" s="1135"/>
      <c r="J1120" s="1135"/>
      <c r="K1120" s="1135"/>
      <c r="L1120" s="1135"/>
      <c r="M1120" s="1135"/>
      <c r="N1120" s="1135"/>
      <c r="O1120" s="1135"/>
      <c r="P1120" s="1135"/>
    </row>
    <row r="1121" spans="3:16">
      <c r="C1121" s="1135"/>
      <c r="D1121" s="1135"/>
      <c r="E1121" s="1135"/>
      <c r="F1121" s="1135"/>
      <c r="G1121" s="1135"/>
      <c r="H1121" s="1135"/>
      <c r="I1121" s="1135"/>
      <c r="J1121" s="1135"/>
      <c r="K1121" s="1135"/>
      <c r="L1121" s="1135"/>
      <c r="M1121" s="1135"/>
      <c r="N1121" s="1135"/>
      <c r="O1121" s="1135"/>
      <c r="P1121" s="1135"/>
    </row>
    <row r="1122" spans="3:16">
      <c r="C1122" s="1135"/>
      <c r="D1122" s="1135"/>
      <c r="E1122" s="1135"/>
      <c r="F1122" s="1135"/>
      <c r="G1122" s="1135"/>
      <c r="H1122" s="1135"/>
      <c r="I1122" s="1135"/>
      <c r="J1122" s="1135"/>
      <c r="K1122" s="1135"/>
      <c r="L1122" s="1135"/>
      <c r="M1122" s="1135"/>
      <c r="N1122" s="1135"/>
      <c r="O1122" s="1135"/>
      <c r="P1122" s="1135"/>
    </row>
    <row r="1123" spans="3:16">
      <c r="C1123" s="1135"/>
      <c r="D1123" s="1135"/>
      <c r="E1123" s="1135"/>
      <c r="F1123" s="1135"/>
      <c r="G1123" s="1135"/>
      <c r="H1123" s="1135"/>
      <c r="I1123" s="1135"/>
      <c r="J1123" s="1135"/>
      <c r="K1123" s="1135"/>
      <c r="L1123" s="1135"/>
      <c r="M1123" s="1135"/>
      <c r="N1123" s="1135"/>
      <c r="O1123" s="1135"/>
      <c r="P1123" s="1135"/>
    </row>
    <row r="1124" spans="3:16">
      <c r="C1124" s="1135"/>
      <c r="D1124" s="1135"/>
      <c r="E1124" s="1135"/>
      <c r="F1124" s="1135"/>
      <c r="G1124" s="1135"/>
      <c r="H1124" s="1135"/>
      <c r="I1124" s="1135"/>
      <c r="J1124" s="1135"/>
      <c r="K1124" s="1135"/>
      <c r="L1124" s="1135"/>
      <c r="M1124" s="1135"/>
      <c r="N1124" s="1135"/>
      <c r="O1124" s="1135"/>
      <c r="P1124" s="1135"/>
    </row>
    <row r="1125" spans="3:16">
      <c r="C1125" s="1135"/>
      <c r="D1125" s="1135"/>
      <c r="E1125" s="1135"/>
      <c r="F1125" s="1135"/>
      <c r="G1125" s="1135"/>
      <c r="H1125" s="1135"/>
      <c r="I1125" s="1135"/>
      <c r="J1125" s="1135"/>
      <c r="K1125" s="1135"/>
      <c r="L1125" s="1135"/>
      <c r="M1125" s="1135"/>
      <c r="N1125" s="1135"/>
      <c r="O1125" s="1135"/>
      <c r="P1125" s="1135"/>
    </row>
    <row r="1126" spans="3:16">
      <c r="C1126" s="1135"/>
      <c r="D1126" s="1135"/>
      <c r="E1126" s="1135"/>
      <c r="F1126" s="1135"/>
      <c r="G1126" s="1135"/>
      <c r="H1126" s="1135"/>
      <c r="I1126" s="1135"/>
      <c r="J1126" s="1135"/>
      <c r="K1126" s="1135"/>
      <c r="L1126" s="1135"/>
      <c r="M1126" s="1135"/>
      <c r="N1126" s="1135"/>
      <c r="O1126" s="1135"/>
      <c r="P1126" s="1135"/>
    </row>
    <row r="1127" spans="3:16">
      <c r="C1127" s="1135"/>
      <c r="D1127" s="1135"/>
      <c r="E1127" s="1135"/>
      <c r="F1127" s="1135"/>
      <c r="G1127" s="1135"/>
      <c r="H1127" s="1135"/>
      <c r="I1127" s="1135"/>
      <c r="J1127" s="1135"/>
      <c r="K1127" s="1135"/>
      <c r="L1127" s="1135"/>
      <c r="M1127" s="1135"/>
      <c r="N1127" s="1135"/>
      <c r="O1127" s="1135"/>
      <c r="P1127" s="1135"/>
    </row>
    <row r="1128" spans="3:16">
      <c r="C1128" s="1135"/>
      <c r="D1128" s="1135"/>
      <c r="E1128" s="1135"/>
      <c r="F1128" s="1135"/>
      <c r="G1128" s="1135"/>
      <c r="H1128" s="1135"/>
      <c r="I1128" s="1135"/>
      <c r="J1128" s="1135"/>
      <c r="K1128" s="1135"/>
      <c r="L1128" s="1135"/>
      <c r="M1128" s="1135"/>
      <c r="N1128" s="1135"/>
      <c r="O1128" s="1135"/>
      <c r="P1128" s="1135"/>
    </row>
    <row r="1129" spans="3:16">
      <c r="C1129" s="1135"/>
      <c r="D1129" s="1135"/>
      <c r="E1129" s="1135"/>
      <c r="F1129" s="1135"/>
      <c r="G1129" s="1135"/>
      <c r="H1129" s="1135"/>
      <c r="I1129" s="1135"/>
      <c r="J1129" s="1135"/>
      <c r="K1129" s="1135"/>
      <c r="L1129" s="1135"/>
      <c r="M1129" s="1135"/>
      <c r="N1129" s="1135"/>
      <c r="O1129" s="1135"/>
      <c r="P1129" s="1135"/>
    </row>
    <row r="1130" spans="3:16">
      <c r="C1130" s="1135"/>
      <c r="D1130" s="1135"/>
      <c r="E1130" s="1135"/>
      <c r="F1130" s="1135"/>
      <c r="G1130" s="1135"/>
      <c r="H1130" s="1135"/>
      <c r="I1130" s="1135"/>
      <c r="J1130" s="1135"/>
      <c r="K1130" s="1135"/>
      <c r="L1130" s="1135"/>
      <c r="M1130" s="1135"/>
      <c r="N1130" s="1135"/>
      <c r="O1130" s="1135"/>
      <c r="P1130" s="1135"/>
    </row>
    <row r="1131" spans="3:16">
      <c r="C1131" s="1135"/>
      <c r="D1131" s="1135"/>
      <c r="E1131" s="1135"/>
      <c r="F1131" s="1135"/>
      <c r="G1131" s="1135"/>
      <c r="H1131" s="1135"/>
      <c r="I1131" s="1135"/>
      <c r="J1131" s="1135"/>
      <c r="K1131" s="1135"/>
      <c r="L1131" s="1135"/>
      <c r="M1131" s="1135"/>
      <c r="N1131" s="1135"/>
      <c r="O1131" s="1135"/>
      <c r="P1131" s="1135"/>
    </row>
    <row r="1132" spans="3:16">
      <c r="C1132" s="1135"/>
      <c r="D1132" s="1135"/>
      <c r="E1132" s="1135"/>
      <c r="F1132" s="1135"/>
      <c r="G1132" s="1135"/>
      <c r="H1132" s="1135"/>
      <c r="I1132" s="1135"/>
      <c r="J1132" s="1135"/>
      <c r="K1132" s="1135"/>
      <c r="L1132" s="1135"/>
      <c r="M1132" s="1135"/>
      <c r="N1132" s="1135"/>
      <c r="O1132" s="1135"/>
      <c r="P1132" s="1135"/>
    </row>
    <row r="1133" spans="3:16">
      <c r="C1133" s="1135"/>
      <c r="D1133" s="1135"/>
      <c r="E1133" s="1135"/>
      <c r="F1133" s="1135"/>
      <c r="G1133" s="1135"/>
      <c r="H1133" s="1135"/>
      <c r="I1133" s="1135"/>
      <c r="J1133" s="1135"/>
      <c r="K1133" s="1135"/>
      <c r="L1133" s="1135"/>
      <c r="M1133" s="1135"/>
      <c r="N1133" s="1135"/>
      <c r="O1133" s="1135"/>
      <c r="P1133" s="1135"/>
    </row>
    <row r="1134" spans="3:16">
      <c r="C1134" s="1135"/>
      <c r="D1134" s="1135"/>
      <c r="E1134" s="1135"/>
      <c r="F1134" s="1135"/>
      <c r="G1134" s="1135"/>
      <c r="H1134" s="1135"/>
      <c r="I1134" s="1135"/>
      <c r="J1134" s="1135"/>
      <c r="K1134" s="1135"/>
      <c r="L1134" s="1135"/>
      <c r="M1134" s="1135"/>
      <c r="N1134" s="1135"/>
      <c r="O1134" s="1135"/>
      <c r="P1134" s="1135"/>
    </row>
    <row r="1135" spans="3:16">
      <c r="C1135" s="1135"/>
      <c r="D1135" s="1135"/>
      <c r="E1135" s="1135"/>
      <c r="F1135" s="1135"/>
      <c r="G1135" s="1135"/>
      <c r="H1135" s="1135"/>
      <c r="I1135" s="1135"/>
      <c r="J1135" s="1135"/>
      <c r="K1135" s="1135"/>
      <c r="L1135" s="1135"/>
      <c r="M1135" s="1135"/>
      <c r="N1135" s="1135"/>
      <c r="O1135" s="1135"/>
      <c r="P1135" s="1135"/>
    </row>
    <row r="1136" spans="3:16">
      <c r="C1136" s="1135"/>
      <c r="D1136" s="1135"/>
      <c r="E1136" s="1135"/>
      <c r="F1136" s="1135"/>
      <c r="G1136" s="1135"/>
      <c r="H1136" s="1135"/>
      <c r="I1136" s="1135"/>
      <c r="J1136" s="1135"/>
      <c r="K1136" s="1135"/>
      <c r="L1136" s="1135"/>
      <c r="M1136" s="1135"/>
      <c r="N1136" s="1135"/>
      <c r="O1136" s="1135"/>
      <c r="P1136" s="1135"/>
    </row>
    <row r="1137" spans="3:16">
      <c r="C1137" s="1135"/>
      <c r="D1137" s="1135"/>
      <c r="E1137" s="1135"/>
      <c r="F1137" s="1135"/>
      <c r="G1137" s="1135"/>
      <c r="H1137" s="1135"/>
      <c r="I1137" s="1135"/>
      <c r="J1137" s="1135"/>
      <c r="K1137" s="1135"/>
      <c r="L1137" s="1135"/>
      <c r="M1137" s="1135"/>
      <c r="N1137" s="1135"/>
      <c r="O1137" s="1135"/>
      <c r="P1137" s="1135"/>
    </row>
    <row r="1138" spans="3:16">
      <c r="C1138" s="1135"/>
      <c r="D1138" s="1135"/>
      <c r="E1138" s="1135"/>
      <c r="F1138" s="1135"/>
      <c r="G1138" s="1135"/>
      <c r="H1138" s="1135"/>
      <c r="I1138" s="1135"/>
      <c r="J1138" s="1135"/>
      <c r="K1138" s="1135"/>
      <c r="L1138" s="1135"/>
      <c r="M1138" s="1135"/>
      <c r="N1138" s="1135"/>
      <c r="O1138" s="1135"/>
      <c r="P1138" s="1135"/>
    </row>
    <row r="1139" spans="3:16">
      <c r="C1139" s="1135"/>
      <c r="D1139" s="1135"/>
      <c r="E1139" s="1135"/>
      <c r="F1139" s="1135"/>
      <c r="G1139" s="1135"/>
      <c r="H1139" s="1135"/>
      <c r="I1139" s="1135"/>
      <c r="J1139" s="1135"/>
      <c r="K1139" s="1135"/>
      <c r="L1139" s="1135"/>
      <c r="M1139" s="1135"/>
      <c r="N1139" s="1135"/>
      <c r="O1139" s="1135"/>
      <c r="P1139" s="1135"/>
    </row>
    <row r="1140" spans="3:16">
      <c r="C1140" s="1135"/>
      <c r="D1140" s="1135"/>
      <c r="E1140" s="1135"/>
      <c r="F1140" s="1135"/>
      <c r="G1140" s="1135"/>
      <c r="H1140" s="1135"/>
      <c r="I1140" s="1135"/>
      <c r="J1140" s="1135"/>
      <c r="K1140" s="1135"/>
      <c r="L1140" s="1135"/>
      <c r="M1140" s="1135"/>
      <c r="N1140" s="1135"/>
      <c r="O1140" s="1135"/>
      <c r="P1140" s="1135"/>
    </row>
    <row r="1141" spans="3:16">
      <c r="C1141" s="1135"/>
      <c r="D1141" s="1135"/>
      <c r="E1141" s="1135"/>
      <c r="F1141" s="1135"/>
      <c r="G1141" s="1135"/>
      <c r="H1141" s="1135"/>
      <c r="I1141" s="1135"/>
      <c r="J1141" s="1135"/>
      <c r="K1141" s="1135"/>
      <c r="L1141" s="1135"/>
      <c r="M1141" s="1135"/>
      <c r="N1141" s="1135"/>
      <c r="O1141" s="1135"/>
      <c r="P1141" s="1135"/>
    </row>
    <row r="1142" spans="3:16">
      <c r="C1142" s="1135"/>
      <c r="D1142" s="1135"/>
      <c r="E1142" s="1135"/>
      <c r="F1142" s="1135"/>
      <c r="G1142" s="1135"/>
      <c r="H1142" s="1135"/>
      <c r="I1142" s="1135"/>
      <c r="J1142" s="1135"/>
      <c r="K1142" s="1135"/>
      <c r="L1142" s="1135"/>
      <c r="M1142" s="1135"/>
      <c r="N1142" s="1135"/>
      <c r="O1142" s="1135"/>
      <c r="P1142" s="1135"/>
    </row>
    <row r="1143" spans="3:16">
      <c r="C1143" s="1135"/>
      <c r="D1143" s="1135"/>
      <c r="E1143" s="1135"/>
      <c r="F1143" s="1135"/>
      <c r="G1143" s="1135"/>
      <c r="H1143" s="1135"/>
      <c r="I1143" s="1135"/>
      <c r="J1143" s="1135"/>
      <c r="K1143" s="1135"/>
      <c r="L1143" s="1135"/>
      <c r="M1143" s="1135"/>
      <c r="N1143" s="1135"/>
      <c r="O1143" s="1135"/>
      <c r="P1143" s="1135"/>
    </row>
    <row r="1144" spans="3:16">
      <c r="C1144" s="1135"/>
      <c r="D1144" s="1135"/>
      <c r="E1144" s="1135"/>
      <c r="F1144" s="1135"/>
      <c r="G1144" s="1135"/>
      <c r="H1144" s="1135"/>
      <c r="I1144" s="1135"/>
      <c r="J1144" s="1135"/>
      <c r="K1144" s="1135"/>
      <c r="L1144" s="1135"/>
      <c r="M1144" s="1135"/>
      <c r="N1144" s="1135"/>
      <c r="O1144" s="1135"/>
      <c r="P1144" s="1135"/>
    </row>
    <row r="1145" spans="3:16">
      <c r="C1145" s="1135"/>
      <c r="D1145" s="1135"/>
      <c r="E1145" s="1135"/>
      <c r="F1145" s="1135"/>
      <c r="G1145" s="1135"/>
      <c r="H1145" s="1135"/>
      <c r="I1145" s="1135"/>
      <c r="J1145" s="1135"/>
      <c r="K1145" s="1135"/>
      <c r="L1145" s="1135"/>
      <c r="M1145" s="1135"/>
      <c r="N1145" s="1135"/>
      <c r="O1145" s="1135"/>
      <c r="P1145" s="1135"/>
    </row>
    <row r="1146" spans="3:16">
      <c r="C1146" s="1135"/>
      <c r="D1146" s="1135"/>
      <c r="E1146" s="1135"/>
      <c r="F1146" s="1135"/>
      <c r="G1146" s="1135"/>
      <c r="H1146" s="1135"/>
      <c r="I1146" s="1135"/>
      <c r="J1146" s="1135"/>
      <c r="K1146" s="1135"/>
      <c r="L1146" s="1135"/>
      <c r="M1146" s="1135"/>
      <c r="N1146" s="1135"/>
      <c r="O1146" s="1135"/>
      <c r="P1146" s="1135"/>
    </row>
    <row r="1147" spans="3:16">
      <c r="C1147" s="1135"/>
      <c r="D1147" s="1135"/>
      <c r="E1147" s="1135"/>
      <c r="F1147" s="1135"/>
      <c r="G1147" s="1135"/>
      <c r="H1147" s="1135"/>
      <c r="I1147" s="1135"/>
      <c r="J1147" s="1135"/>
      <c r="K1147" s="1135"/>
      <c r="L1147" s="1135"/>
      <c r="M1147" s="1135"/>
      <c r="N1147" s="1135"/>
      <c r="O1147" s="1135"/>
      <c r="P1147" s="1135"/>
    </row>
    <row r="1148" spans="3:16">
      <c r="C1148" s="1135"/>
      <c r="D1148" s="1135"/>
      <c r="E1148" s="1135"/>
      <c r="F1148" s="1135"/>
      <c r="G1148" s="1135"/>
      <c r="H1148" s="1135"/>
      <c r="I1148" s="1135"/>
      <c r="J1148" s="1135"/>
      <c r="K1148" s="1135"/>
      <c r="L1148" s="1135"/>
      <c r="M1148" s="1135"/>
      <c r="N1148" s="1135"/>
      <c r="O1148" s="1135"/>
      <c r="P1148" s="1135"/>
    </row>
    <row r="1149" spans="3:16">
      <c r="C1149" s="1135"/>
      <c r="D1149" s="1135"/>
      <c r="E1149" s="1135"/>
      <c r="F1149" s="1135"/>
      <c r="G1149" s="1135"/>
      <c r="H1149" s="1135"/>
      <c r="I1149" s="1135"/>
      <c r="J1149" s="1135"/>
      <c r="K1149" s="1135"/>
      <c r="L1149" s="1135"/>
      <c r="M1149" s="1135"/>
      <c r="N1149" s="1135"/>
      <c r="O1149" s="1135"/>
      <c r="P1149" s="1135"/>
    </row>
    <row r="1150" spans="3:16">
      <c r="C1150" s="1135"/>
      <c r="D1150" s="1135"/>
      <c r="E1150" s="1135"/>
      <c r="F1150" s="1135"/>
      <c r="G1150" s="1135"/>
      <c r="H1150" s="1135"/>
      <c r="I1150" s="1135"/>
      <c r="J1150" s="1135"/>
      <c r="K1150" s="1135"/>
      <c r="L1150" s="1135"/>
      <c r="M1150" s="1135"/>
      <c r="N1150" s="1135"/>
      <c r="O1150" s="1135"/>
      <c r="P1150" s="1135"/>
    </row>
    <row r="1151" spans="3:16">
      <c r="C1151" s="1135"/>
      <c r="D1151" s="1135"/>
      <c r="E1151" s="1135"/>
      <c r="F1151" s="1135"/>
      <c r="G1151" s="1135"/>
      <c r="H1151" s="1135"/>
      <c r="I1151" s="1135"/>
      <c r="J1151" s="1135"/>
      <c r="K1151" s="1135"/>
      <c r="L1151" s="1135"/>
      <c r="M1151" s="1135"/>
      <c r="N1151" s="1135"/>
      <c r="O1151" s="1135"/>
      <c r="P1151" s="1135"/>
    </row>
    <row r="1152" spans="3:16">
      <c r="C1152" s="1135"/>
      <c r="D1152" s="1135"/>
      <c r="E1152" s="1135"/>
      <c r="F1152" s="1135"/>
      <c r="G1152" s="1135"/>
      <c r="H1152" s="1135"/>
      <c r="I1152" s="1135"/>
      <c r="J1152" s="1135"/>
      <c r="K1152" s="1135"/>
      <c r="L1152" s="1135"/>
      <c r="M1152" s="1135"/>
      <c r="N1152" s="1135"/>
      <c r="O1152" s="1135"/>
      <c r="P1152" s="1135"/>
    </row>
    <row r="1153" spans="3:16">
      <c r="C1153" s="1135"/>
      <c r="D1153" s="1135"/>
      <c r="E1153" s="1135"/>
      <c r="F1153" s="1135"/>
      <c r="G1153" s="1135"/>
      <c r="H1153" s="1135"/>
      <c r="I1153" s="1135"/>
      <c r="J1153" s="1135"/>
      <c r="K1153" s="1135"/>
      <c r="L1153" s="1135"/>
      <c r="M1153" s="1135"/>
      <c r="N1153" s="1135"/>
      <c r="O1153" s="1135"/>
      <c r="P1153" s="1135"/>
    </row>
    <row r="1154" spans="3:16">
      <c r="C1154" s="1135"/>
      <c r="D1154" s="1135"/>
      <c r="E1154" s="1135"/>
      <c r="F1154" s="1135"/>
      <c r="G1154" s="1135"/>
      <c r="H1154" s="1135"/>
      <c r="I1154" s="1135"/>
      <c r="J1154" s="1135"/>
      <c r="K1154" s="1135"/>
      <c r="L1154" s="1135"/>
      <c r="M1154" s="1135"/>
      <c r="N1154" s="1135"/>
      <c r="O1154" s="1135"/>
      <c r="P1154" s="1135"/>
    </row>
    <row r="1155" spans="3:16">
      <c r="C1155" s="1135"/>
      <c r="D1155" s="1135"/>
      <c r="E1155" s="1135"/>
      <c r="F1155" s="1135"/>
      <c r="G1155" s="1135"/>
      <c r="H1155" s="1135"/>
      <c r="I1155" s="1135"/>
      <c r="J1155" s="1135"/>
      <c r="K1155" s="1135"/>
      <c r="L1155" s="1135"/>
      <c r="M1155" s="1135"/>
      <c r="N1155" s="1135"/>
      <c r="O1155" s="1135"/>
      <c r="P1155" s="1135"/>
    </row>
    <row r="1156" spans="3:16">
      <c r="C1156" s="1135"/>
      <c r="D1156" s="1135"/>
      <c r="E1156" s="1135"/>
      <c r="F1156" s="1135"/>
      <c r="G1156" s="1135"/>
      <c r="H1156" s="1135"/>
      <c r="I1156" s="1135"/>
      <c r="J1156" s="1135"/>
      <c r="K1156" s="1135"/>
      <c r="L1156" s="1135"/>
      <c r="M1156" s="1135"/>
      <c r="N1156" s="1135"/>
      <c r="O1156" s="1135"/>
      <c r="P1156" s="1135"/>
    </row>
    <row r="1157" spans="3:16">
      <c r="C1157" s="1135"/>
      <c r="D1157" s="1135"/>
      <c r="E1157" s="1135"/>
      <c r="F1157" s="1135"/>
      <c r="G1157" s="1135"/>
      <c r="H1157" s="1135"/>
      <c r="I1157" s="1135"/>
      <c r="J1157" s="1135"/>
      <c r="K1157" s="1135"/>
      <c r="L1157" s="1135"/>
      <c r="M1157" s="1135"/>
      <c r="N1157" s="1135"/>
      <c r="O1157" s="1135"/>
      <c r="P1157" s="1135"/>
    </row>
    <row r="1158" spans="3:16">
      <c r="C1158" s="1135"/>
      <c r="D1158" s="1135"/>
      <c r="E1158" s="1135"/>
      <c r="F1158" s="1135"/>
      <c r="G1158" s="1135"/>
      <c r="H1158" s="1135"/>
      <c r="I1158" s="1135"/>
      <c r="J1158" s="1135"/>
      <c r="K1158" s="1135"/>
      <c r="L1158" s="1135"/>
      <c r="M1158" s="1135"/>
      <c r="N1158" s="1135"/>
      <c r="O1158" s="1135"/>
      <c r="P1158" s="1135"/>
    </row>
    <row r="1159" spans="3:16">
      <c r="C1159" s="1135"/>
      <c r="D1159" s="1135"/>
      <c r="E1159" s="1135"/>
      <c r="F1159" s="1135"/>
      <c r="G1159" s="1135"/>
      <c r="H1159" s="1135"/>
      <c r="I1159" s="1135"/>
      <c r="J1159" s="1135"/>
      <c r="K1159" s="1135"/>
      <c r="L1159" s="1135"/>
      <c r="M1159" s="1135"/>
      <c r="N1159" s="1135"/>
      <c r="O1159" s="1135"/>
      <c r="P1159" s="1135"/>
    </row>
    <row r="1160" spans="3:16">
      <c r="C1160" s="1135"/>
      <c r="D1160" s="1135"/>
      <c r="E1160" s="1135"/>
      <c r="F1160" s="1135"/>
      <c r="G1160" s="1135"/>
      <c r="H1160" s="1135"/>
      <c r="I1160" s="1135"/>
      <c r="J1160" s="1135"/>
      <c r="K1160" s="1135"/>
      <c r="L1160" s="1135"/>
      <c r="M1160" s="1135"/>
      <c r="N1160" s="1135"/>
      <c r="O1160" s="1135"/>
      <c r="P1160" s="1135"/>
    </row>
    <row r="1161" spans="3:16">
      <c r="C1161" s="1135"/>
      <c r="D1161" s="1135"/>
      <c r="E1161" s="1135"/>
      <c r="F1161" s="1135"/>
      <c r="G1161" s="1135"/>
      <c r="H1161" s="1135"/>
      <c r="I1161" s="1135"/>
      <c r="J1161" s="1135"/>
      <c r="K1161" s="1135"/>
      <c r="L1161" s="1135"/>
      <c r="M1161" s="1135"/>
      <c r="N1161" s="1135"/>
      <c r="O1161" s="1135"/>
      <c r="P1161" s="1135"/>
    </row>
    <row r="1162" spans="3:16">
      <c r="C1162" s="1135"/>
      <c r="D1162" s="1135"/>
      <c r="E1162" s="1135"/>
      <c r="F1162" s="1135"/>
      <c r="G1162" s="1135"/>
      <c r="H1162" s="1135"/>
      <c r="I1162" s="1135"/>
      <c r="J1162" s="1135"/>
      <c r="K1162" s="1135"/>
      <c r="L1162" s="1135"/>
      <c r="M1162" s="1135"/>
      <c r="N1162" s="1135"/>
      <c r="O1162" s="1135"/>
      <c r="P1162" s="1135"/>
    </row>
    <row r="1163" spans="3:16">
      <c r="C1163" s="1135"/>
      <c r="D1163" s="1135"/>
      <c r="E1163" s="1135"/>
      <c r="F1163" s="1135"/>
      <c r="G1163" s="1135"/>
      <c r="H1163" s="1135"/>
      <c r="I1163" s="1135"/>
      <c r="J1163" s="1135"/>
      <c r="K1163" s="1135"/>
      <c r="L1163" s="1135"/>
      <c r="M1163" s="1135"/>
      <c r="N1163" s="1135"/>
      <c r="O1163" s="1135"/>
      <c r="P1163" s="1135"/>
    </row>
    <row r="1164" spans="3:16">
      <c r="C1164" s="1135"/>
      <c r="D1164" s="1135"/>
      <c r="E1164" s="1135"/>
      <c r="F1164" s="1135"/>
      <c r="G1164" s="1135"/>
      <c r="H1164" s="1135"/>
      <c r="I1164" s="1135"/>
      <c r="J1164" s="1135"/>
      <c r="K1164" s="1135"/>
      <c r="L1164" s="1135"/>
      <c r="M1164" s="1135"/>
      <c r="N1164" s="1135"/>
      <c r="O1164" s="1135"/>
      <c r="P1164" s="1135"/>
    </row>
    <row r="1165" spans="3:16">
      <c r="C1165" s="1135"/>
      <c r="D1165" s="1135"/>
      <c r="E1165" s="1135"/>
      <c r="F1165" s="1135"/>
      <c r="G1165" s="1135"/>
      <c r="H1165" s="1135"/>
      <c r="I1165" s="1135"/>
      <c r="J1165" s="1135"/>
      <c r="K1165" s="1135"/>
      <c r="L1165" s="1135"/>
      <c r="M1165" s="1135"/>
      <c r="N1165" s="1135"/>
      <c r="O1165" s="1135"/>
      <c r="P1165" s="1135"/>
    </row>
    <row r="1166" spans="3:16">
      <c r="C1166" s="1135"/>
      <c r="D1166" s="1135"/>
      <c r="E1166" s="1135"/>
      <c r="F1166" s="1135"/>
      <c r="G1166" s="1135"/>
      <c r="H1166" s="1135"/>
      <c r="I1166" s="1135"/>
      <c r="J1166" s="1135"/>
      <c r="K1166" s="1135"/>
      <c r="L1166" s="1135"/>
      <c r="M1166" s="1135"/>
      <c r="N1166" s="1135"/>
      <c r="O1166" s="1135"/>
      <c r="P1166" s="1135"/>
    </row>
    <row r="1167" spans="3:16">
      <c r="C1167" s="1135"/>
      <c r="D1167" s="1135"/>
      <c r="E1167" s="1135"/>
      <c r="F1167" s="1135"/>
      <c r="G1167" s="1135"/>
      <c r="H1167" s="1135"/>
      <c r="I1167" s="1135"/>
      <c r="J1167" s="1135"/>
      <c r="K1167" s="1135"/>
      <c r="L1167" s="1135"/>
      <c r="M1167" s="1135"/>
      <c r="N1167" s="1135"/>
      <c r="O1167" s="1135"/>
      <c r="P1167" s="1135"/>
    </row>
    <row r="1168" spans="3:16">
      <c r="C1168" s="1135"/>
      <c r="D1168" s="1135"/>
      <c r="E1168" s="1135"/>
      <c r="F1168" s="1135"/>
      <c r="G1168" s="1135"/>
      <c r="H1168" s="1135"/>
      <c r="I1168" s="1135"/>
      <c r="J1168" s="1135"/>
      <c r="K1168" s="1135"/>
      <c r="L1168" s="1135"/>
      <c r="M1168" s="1135"/>
      <c r="N1168" s="1135"/>
      <c r="O1168" s="1135"/>
      <c r="P1168" s="1135"/>
    </row>
    <row r="1169" spans="3:16">
      <c r="C1169" s="1135"/>
      <c r="D1169" s="1135"/>
      <c r="E1169" s="1135"/>
      <c r="F1169" s="1135"/>
      <c r="G1169" s="1135"/>
      <c r="H1169" s="1135"/>
      <c r="I1169" s="1135"/>
      <c r="J1169" s="1135"/>
      <c r="K1169" s="1135"/>
      <c r="L1169" s="1135"/>
      <c r="M1169" s="1135"/>
      <c r="N1169" s="1135"/>
      <c r="O1169" s="1135"/>
      <c r="P1169" s="1135"/>
    </row>
    <row r="1170" spans="3:16">
      <c r="C1170" s="1135"/>
      <c r="D1170" s="1135"/>
      <c r="E1170" s="1135"/>
      <c r="F1170" s="1135"/>
      <c r="G1170" s="1135"/>
      <c r="H1170" s="1135"/>
      <c r="I1170" s="1135"/>
      <c r="J1170" s="1135"/>
      <c r="K1170" s="1135"/>
      <c r="L1170" s="1135"/>
      <c r="M1170" s="1135"/>
      <c r="N1170" s="1135"/>
      <c r="O1170" s="1135"/>
      <c r="P1170" s="1135"/>
    </row>
    <row r="1171" spans="3:16">
      <c r="C1171" s="1135"/>
      <c r="D1171" s="1135"/>
      <c r="E1171" s="1135"/>
      <c r="F1171" s="1135"/>
      <c r="G1171" s="1135"/>
      <c r="H1171" s="1135"/>
      <c r="I1171" s="1135"/>
      <c r="J1171" s="1135"/>
      <c r="K1171" s="1135"/>
      <c r="L1171" s="1135"/>
      <c r="M1171" s="1135"/>
      <c r="N1171" s="1135"/>
      <c r="O1171" s="1135"/>
      <c r="P1171" s="1135"/>
    </row>
    <row r="1172" spans="3:16">
      <c r="C1172" s="1135"/>
      <c r="D1172" s="1135"/>
      <c r="E1172" s="1135"/>
      <c r="F1172" s="1135"/>
      <c r="G1172" s="1135"/>
      <c r="H1172" s="1135"/>
      <c r="I1172" s="1135"/>
      <c r="J1172" s="1135"/>
      <c r="K1172" s="1135"/>
      <c r="L1172" s="1135"/>
      <c r="M1172" s="1135"/>
      <c r="N1172" s="1135"/>
      <c r="O1172" s="1135"/>
      <c r="P1172" s="1135"/>
    </row>
    <row r="1173" spans="3:16">
      <c r="C1173" s="1135"/>
      <c r="D1173" s="1135"/>
      <c r="E1173" s="1135"/>
      <c r="F1173" s="1135"/>
      <c r="G1173" s="1135"/>
      <c r="H1173" s="1135"/>
      <c r="I1173" s="1135"/>
      <c r="J1173" s="1135"/>
      <c r="K1173" s="1135"/>
      <c r="L1173" s="1135"/>
      <c r="M1173" s="1135"/>
      <c r="N1173" s="1135"/>
      <c r="O1173" s="1135"/>
      <c r="P1173" s="1135"/>
    </row>
    <row r="1174" spans="3:16">
      <c r="C1174" s="1135"/>
      <c r="D1174" s="1135"/>
      <c r="E1174" s="1135"/>
      <c r="F1174" s="1135"/>
      <c r="G1174" s="1135"/>
      <c r="H1174" s="1135"/>
      <c r="I1174" s="1135"/>
      <c r="J1174" s="1135"/>
      <c r="K1174" s="1135"/>
      <c r="L1174" s="1135"/>
      <c r="M1174" s="1135"/>
      <c r="N1174" s="1135"/>
      <c r="O1174" s="1135"/>
      <c r="P1174" s="1135"/>
    </row>
    <row r="1175" spans="3:16">
      <c r="C1175" s="1135"/>
      <c r="D1175" s="1135"/>
      <c r="E1175" s="1135"/>
      <c r="F1175" s="1135"/>
      <c r="G1175" s="1135"/>
      <c r="H1175" s="1135"/>
      <c r="I1175" s="1135"/>
      <c r="J1175" s="1135"/>
      <c r="K1175" s="1135"/>
      <c r="L1175" s="1135"/>
      <c r="M1175" s="1135"/>
      <c r="N1175" s="1135"/>
      <c r="O1175" s="1135"/>
      <c r="P1175" s="1135"/>
    </row>
    <row r="1176" spans="3:16">
      <c r="C1176" s="1135"/>
      <c r="D1176" s="1135"/>
      <c r="E1176" s="1135"/>
      <c r="F1176" s="1135"/>
      <c r="G1176" s="1135"/>
      <c r="H1176" s="1135"/>
      <c r="I1176" s="1135"/>
      <c r="J1176" s="1135"/>
      <c r="K1176" s="1135"/>
      <c r="L1176" s="1135"/>
      <c r="M1176" s="1135"/>
      <c r="N1176" s="1135"/>
      <c r="O1176" s="1135"/>
      <c r="P1176" s="1135"/>
    </row>
    <row r="1177" spans="3:16">
      <c r="C1177" s="1135"/>
      <c r="D1177" s="1135"/>
      <c r="E1177" s="1135"/>
      <c r="F1177" s="1135"/>
      <c r="G1177" s="1135"/>
      <c r="H1177" s="1135"/>
      <c r="I1177" s="1135"/>
      <c r="J1177" s="1135"/>
      <c r="K1177" s="1135"/>
      <c r="L1177" s="1135"/>
      <c r="M1177" s="1135"/>
      <c r="N1177" s="1135"/>
      <c r="O1177" s="1135"/>
      <c r="P1177" s="1135"/>
    </row>
    <row r="1178" spans="3:16">
      <c r="C1178" s="1135"/>
      <c r="D1178" s="1135"/>
      <c r="E1178" s="1135"/>
      <c r="F1178" s="1135"/>
      <c r="G1178" s="1135"/>
      <c r="H1178" s="1135"/>
      <c r="I1178" s="1135"/>
      <c r="J1178" s="1135"/>
      <c r="K1178" s="1135"/>
      <c r="L1178" s="1135"/>
      <c r="M1178" s="1135"/>
      <c r="N1178" s="1135"/>
      <c r="O1178" s="1135"/>
      <c r="P1178" s="1135"/>
    </row>
    <row r="1179" spans="3:16">
      <c r="C1179" s="1135"/>
      <c r="D1179" s="1135"/>
      <c r="E1179" s="1135"/>
      <c r="F1179" s="1135"/>
      <c r="G1179" s="1135"/>
      <c r="H1179" s="1135"/>
      <c r="I1179" s="1135"/>
      <c r="J1179" s="1135"/>
      <c r="K1179" s="1135"/>
      <c r="L1179" s="1135"/>
      <c r="M1179" s="1135"/>
      <c r="N1179" s="1135"/>
      <c r="O1179" s="1135"/>
      <c r="P1179" s="1135"/>
    </row>
    <row r="1180" spans="3:16">
      <c r="C1180" s="1135"/>
      <c r="D1180" s="1135"/>
      <c r="E1180" s="1135"/>
      <c r="F1180" s="1135"/>
      <c r="G1180" s="1135"/>
      <c r="H1180" s="1135"/>
      <c r="I1180" s="1135"/>
      <c r="J1180" s="1135"/>
      <c r="K1180" s="1135"/>
      <c r="L1180" s="1135"/>
      <c r="M1180" s="1135"/>
      <c r="N1180" s="1135"/>
      <c r="O1180" s="1135"/>
      <c r="P1180" s="1135"/>
    </row>
    <row r="1181" spans="3:16">
      <c r="C1181" s="1135"/>
      <c r="D1181" s="1135"/>
      <c r="E1181" s="1135"/>
      <c r="F1181" s="1135"/>
      <c r="G1181" s="1135"/>
      <c r="H1181" s="1135"/>
      <c r="I1181" s="1135"/>
      <c r="J1181" s="1135"/>
      <c r="K1181" s="1135"/>
      <c r="L1181" s="1135"/>
      <c r="M1181" s="1135"/>
      <c r="N1181" s="1135"/>
      <c r="O1181" s="1135"/>
      <c r="P1181" s="1135"/>
    </row>
    <row r="1182" spans="3:16">
      <c r="C1182" s="1135"/>
      <c r="D1182" s="1135"/>
      <c r="E1182" s="1135"/>
      <c r="F1182" s="1135"/>
      <c r="G1182" s="1135"/>
      <c r="H1182" s="1135"/>
      <c r="I1182" s="1135"/>
      <c r="J1182" s="1135"/>
      <c r="K1182" s="1135"/>
      <c r="L1182" s="1135"/>
      <c r="M1182" s="1135"/>
      <c r="N1182" s="1135"/>
      <c r="O1182" s="1135"/>
      <c r="P1182" s="1135"/>
    </row>
    <row r="1183" spans="3:16">
      <c r="C1183" s="1135"/>
      <c r="D1183" s="1135"/>
      <c r="E1183" s="1135"/>
      <c r="F1183" s="1135"/>
      <c r="G1183" s="1135"/>
      <c r="H1183" s="1135"/>
      <c r="I1183" s="1135"/>
      <c r="J1183" s="1135"/>
      <c r="K1183" s="1135"/>
      <c r="L1183" s="1135"/>
      <c r="M1183" s="1135"/>
      <c r="N1183" s="1135"/>
      <c r="O1183" s="1135"/>
      <c r="P1183" s="1135"/>
    </row>
    <row r="1184" spans="3:16">
      <c r="C1184" s="1135"/>
      <c r="D1184" s="1135"/>
      <c r="E1184" s="1135"/>
      <c r="F1184" s="1135"/>
      <c r="G1184" s="1135"/>
      <c r="H1184" s="1135"/>
      <c r="I1184" s="1135"/>
      <c r="J1184" s="1135"/>
      <c r="K1184" s="1135"/>
      <c r="L1184" s="1135"/>
      <c r="M1184" s="1135"/>
      <c r="N1184" s="1135"/>
      <c r="O1184" s="1135"/>
      <c r="P1184" s="1135"/>
    </row>
    <row r="1185" spans="3:16">
      <c r="C1185" s="1135"/>
      <c r="D1185" s="1135"/>
      <c r="E1185" s="1135"/>
      <c r="F1185" s="1135"/>
      <c r="G1185" s="1135"/>
      <c r="H1185" s="1135"/>
      <c r="I1185" s="1135"/>
      <c r="J1185" s="1135"/>
      <c r="K1185" s="1135"/>
      <c r="L1185" s="1135"/>
      <c r="M1185" s="1135"/>
      <c r="N1185" s="1135"/>
      <c r="O1185" s="1135"/>
      <c r="P1185" s="1135"/>
    </row>
    <row r="1186" spans="3:16">
      <c r="C1186" s="1135"/>
      <c r="D1186" s="1135"/>
      <c r="E1186" s="1135"/>
      <c r="F1186" s="1135"/>
      <c r="G1186" s="1135"/>
      <c r="H1186" s="1135"/>
      <c r="I1186" s="1135"/>
      <c r="J1186" s="1135"/>
      <c r="K1186" s="1135"/>
      <c r="L1186" s="1135"/>
      <c r="M1186" s="1135"/>
      <c r="N1186" s="1135"/>
      <c r="O1186" s="1135"/>
      <c r="P1186" s="1135"/>
    </row>
    <row r="1187" spans="3:16">
      <c r="C1187" s="1135"/>
      <c r="D1187" s="1135"/>
      <c r="E1187" s="1135"/>
      <c r="F1187" s="1135"/>
      <c r="G1187" s="1135"/>
      <c r="H1187" s="1135"/>
      <c r="I1187" s="1135"/>
      <c r="J1187" s="1135"/>
      <c r="K1187" s="1135"/>
      <c r="L1187" s="1135"/>
      <c r="M1187" s="1135"/>
      <c r="N1187" s="1135"/>
      <c r="O1187" s="1135"/>
      <c r="P1187" s="1135"/>
    </row>
    <row r="1188" spans="3:16">
      <c r="C1188" s="1135"/>
      <c r="D1188" s="1135"/>
      <c r="E1188" s="1135"/>
      <c r="F1188" s="1135"/>
      <c r="G1188" s="1135"/>
      <c r="H1188" s="1135"/>
      <c r="I1188" s="1135"/>
      <c r="J1188" s="1135"/>
      <c r="K1188" s="1135"/>
      <c r="L1188" s="1135"/>
      <c r="M1188" s="1135"/>
      <c r="N1188" s="1135"/>
      <c r="O1188" s="1135"/>
      <c r="P1188" s="1135"/>
    </row>
    <row r="1189" spans="3:16">
      <c r="C1189" s="1135"/>
      <c r="D1189" s="1135"/>
      <c r="E1189" s="1135"/>
      <c r="F1189" s="1135"/>
      <c r="G1189" s="1135"/>
      <c r="H1189" s="1135"/>
      <c r="I1189" s="1135"/>
      <c r="J1189" s="1135"/>
      <c r="K1189" s="1135"/>
      <c r="L1189" s="1135"/>
      <c r="M1189" s="1135"/>
      <c r="N1189" s="1135"/>
      <c r="O1189" s="1135"/>
      <c r="P1189" s="1135"/>
    </row>
    <row r="1190" spans="3:16">
      <c r="C1190" s="1135"/>
      <c r="D1190" s="1135"/>
      <c r="E1190" s="1135"/>
      <c r="F1190" s="1135"/>
      <c r="G1190" s="1135"/>
      <c r="H1190" s="1135"/>
      <c r="I1190" s="1135"/>
      <c r="J1190" s="1135"/>
      <c r="K1190" s="1135"/>
      <c r="L1190" s="1135"/>
      <c r="M1190" s="1135"/>
      <c r="N1190" s="1135"/>
      <c r="O1190" s="1135"/>
      <c r="P1190" s="1135"/>
    </row>
    <row r="1191" spans="3:16">
      <c r="C1191" s="1135"/>
      <c r="D1191" s="1135"/>
      <c r="E1191" s="1135"/>
      <c r="F1191" s="1135"/>
      <c r="G1191" s="1135"/>
      <c r="H1191" s="1135"/>
      <c r="I1191" s="1135"/>
      <c r="J1191" s="1135"/>
      <c r="K1191" s="1135"/>
      <c r="L1191" s="1135"/>
      <c r="M1191" s="1135"/>
      <c r="N1191" s="1135"/>
      <c r="O1191" s="1135"/>
      <c r="P1191" s="1135"/>
    </row>
    <row r="1192" spans="3:16">
      <c r="C1192" s="1135"/>
      <c r="D1192" s="1135"/>
      <c r="E1192" s="1135"/>
      <c r="F1192" s="1135"/>
      <c r="G1192" s="1135"/>
      <c r="H1192" s="1135"/>
      <c r="I1192" s="1135"/>
      <c r="J1192" s="1135"/>
      <c r="K1192" s="1135"/>
      <c r="L1192" s="1135"/>
      <c r="M1192" s="1135"/>
      <c r="N1192" s="1135"/>
      <c r="O1192" s="1135"/>
      <c r="P1192" s="1135"/>
    </row>
    <row r="1193" spans="3:16">
      <c r="C1193" s="1135"/>
      <c r="D1193" s="1135"/>
      <c r="E1193" s="1135"/>
      <c r="F1193" s="1135"/>
      <c r="G1193" s="1135"/>
      <c r="H1193" s="1135"/>
      <c r="I1193" s="1135"/>
      <c r="J1193" s="1135"/>
      <c r="K1193" s="1135"/>
      <c r="L1193" s="1135"/>
      <c r="M1193" s="1135"/>
      <c r="N1193" s="1135"/>
      <c r="O1193" s="1135"/>
      <c r="P1193" s="1135"/>
    </row>
    <row r="1194" spans="3:16">
      <c r="C1194" s="1135"/>
      <c r="D1194" s="1135"/>
      <c r="E1194" s="1135"/>
      <c r="F1194" s="1135"/>
      <c r="G1194" s="1135"/>
      <c r="H1194" s="1135"/>
      <c r="I1194" s="1135"/>
      <c r="J1194" s="1135"/>
      <c r="K1194" s="1135"/>
      <c r="L1194" s="1135"/>
      <c r="M1194" s="1135"/>
      <c r="N1194" s="1135"/>
      <c r="O1194" s="1135"/>
      <c r="P1194" s="1135"/>
    </row>
    <row r="1195" spans="3:16">
      <c r="C1195" s="1135"/>
      <c r="D1195" s="1135"/>
      <c r="E1195" s="1135"/>
      <c r="F1195" s="1135"/>
      <c r="G1195" s="1135"/>
      <c r="H1195" s="1135"/>
      <c r="I1195" s="1135"/>
      <c r="J1195" s="1135"/>
      <c r="K1195" s="1135"/>
      <c r="L1195" s="1135"/>
      <c r="M1195" s="1135"/>
      <c r="N1195" s="1135"/>
      <c r="O1195" s="1135"/>
      <c r="P1195" s="1135"/>
    </row>
    <row r="1196" spans="3:16">
      <c r="C1196" s="1135"/>
      <c r="D1196" s="1135"/>
      <c r="E1196" s="1135"/>
      <c r="F1196" s="1135"/>
      <c r="G1196" s="1135"/>
      <c r="H1196" s="1135"/>
      <c r="I1196" s="1135"/>
      <c r="J1196" s="1135"/>
      <c r="K1196" s="1135"/>
      <c r="L1196" s="1135"/>
      <c r="M1196" s="1135"/>
      <c r="N1196" s="1135"/>
      <c r="O1196" s="1135"/>
      <c r="P1196" s="1135"/>
    </row>
    <row r="1197" spans="3:16">
      <c r="C1197" s="1135"/>
      <c r="D1197" s="1135"/>
      <c r="E1197" s="1135"/>
      <c r="F1197" s="1135"/>
      <c r="G1197" s="1135"/>
      <c r="H1197" s="1135"/>
      <c r="I1197" s="1135"/>
      <c r="J1197" s="1135"/>
      <c r="K1197" s="1135"/>
      <c r="L1197" s="1135"/>
      <c r="M1197" s="1135"/>
      <c r="N1197" s="1135"/>
      <c r="O1197" s="1135"/>
      <c r="P1197" s="1135"/>
    </row>
    <row r="1198" spans="3:16">
      <c r="C1198" s="1135"/>
      <c r="D1198" s="1135"/>
      <c r="E1198" s="1135"/>
      <c r="F1198" s="1135"/>
      <c r="G1198" s="1135"/>
      <c r="H1198" s="1135"/>
      <c r="I1198" s="1135"/>
      <c r="J1198" s="1135"/>
      <c r="K1198" s="1135"/>
      <c r="L1198" s="1135"/>
      <c r="M1198" s="1135"/>
      <c r="N1198" s="1135"/>
      <c r="O1198" s="1135"/>
      <c r="P1198" s="1135"/>
    </row>
    <row r="1199" spans="3:16">
      <c r="C1199" s="1135"/>
      <c r="D1199" s="1135"/>
      <c r="E1199" s="1135"/>
      <c r="F1199" s="1135"/>
      <c r="G1199" s="1135"/>
      <c r="H1199" s="1135"/>
      <c r="I1199" s="1135"/>
      <c r="J1199" s="1135"/>
      <c r="K1199" s="1135"/>
      <c r="L1199" s="1135"/>
      <c r="M1199" s="1135"/>
      <c r="N1199" s="1135"/>
      <c r="O1199" s="1135"/>
      <c r="P1199" s="1135"/>
    </row>
    <row r="1200" spans="3:16">
      <c r="C1200" s="1135"/>
      <c r="D1200" s="1135"/>
      <c r="E1200" s="1135"/>
      <c r="F1200" s="1135"/>
      <c r="G1200" s="1135"/>
      <c r="H1200" s="1135"/>
      <c r="I1200" s="1135"/>
      <c r="J1200" s="1135"/>
      <c r="K1200" s="1135"/>
      <c r="L1200" s="1135"/>
      <c r="M1200" s="1135"/>
      <c r="N1200" s="1135"/>
      <c r="O1200" s="1135"/>
      <c r="P1200" s="1135"/>
    </row>
    <row r="1201" spans="3:16">
      <c r="C1201" s="1135"/>
      <c r="D1201" s="1135"/>
      <c r="E1201" s="1135"/>
      <c r="F1201" s="1135"/>
      <c r="G1201" s="1135"/>
      <c r="H1201" s="1135"/>
      <c r="I1201" s="1135"/>
      <c r="J1201" s="1135"/>
      <c r="K1201" s="1135"/>
      <c r="L1201" s="1135"/>
      <c r="M1201" s="1135"/>
      <c r="N1201" s="1135"/>
      <c r="O1201" s="1135"/>
      <c r="P1201" s="1135"/>
    </row>
    <row r="1202" spans="3:16">
      <c r="C1202" s="1135"/>
      <c r="D1202" s="1135"/>
      <c r="E1202" s="1135"/>
      <c r="F1202" s="1135"/>
      <c r="G1202" s="1135"/>
      <c r="H1202" s="1135"/>
      <c r="I1202" s="1135"/>
      <c r="J1202" s="1135"/>
      <c r="K1202" s="1135"/>
      <c r="L1202" s="1135"/>
      <c r="M1202" s="1135"/>
      <c r="N1202" s="1135"/>
      <c r="O1202" s="1135"/>
      <c r="P1202" s="1135"/>
    </row>
    <row r="1203" spans="3:16">
      <c r="C1203" s="1135"/>
      <c r="D1203" s="1135"/>
      <c r="E1203" s="1135"/>
      <c r="F1203" s="1135"/>
      <c r="G1203" s="1135"/>
      <c r="H1203" s="1135"/>
      <c r="I1203" s="1135"/>
      <c r="J1203" s="1135"/>
      <c r="K1203" s="1135"/>
      <c r="L1203" s="1135"/>
      <c r="M1203" s="1135"/>
      <c r="N1203" s="1135"/>
      <c r="O1203" s="1135"/>
      <c r="P1203" s="1135"/>
    </row>
    <row r="1204" spans="3:16">
      <c r="C1204" s="1135"/>
      <c r="D1204" s="1135"/>
      <c r="E1204" s="1135"/>
      <c r="F1204" s="1135"/>
      <c r="G1204" s="1135"/>
      <c r="H1204" s="1135"/>
      <c r="I1204" s="1135"/>
      <c r="J1204" s="1135"/>
      <c r="K1204" s="1135"/>
      <c r="L1204" s="1135"/>
      <c r="M1204" s="1135"/>
      <c r="N1204" s="1135"/>
      <c r="O1204" s="1135"/>
      <c r="P1204" s="1135"/>
    </row>
    <row r="1205" spans="3:16">
      <c r="C1205" s="1135"/>
      <c r="D1205" s="1135"/>
      <c r="E1205" s="1135"/>
      <c r="F1205" s="1135"/>
      <c r="G1205" s="1135"/>
      <c r="H1205" s="1135"/>
      <c r="I1205" s="1135"/>
      <c r="J1205" s="1135"/>
      <c r="K1205" s="1135"/>
      <c r="L1205" s="1135"/>
      <c r="M1205" s="1135"/>
      <c r="N1205" s="1135"/>
      <c r="O1205" s="1135"/>
      <c r="P1205" s="1135"/>
    </row>
    <row r="1206" spans="3:16">
      <c r="C1206" s="1135"/>
      <c r="D1206" s="1135"/>
      <c r="E1206" s="1135"/>
      <c r="F1206" s="1135"/>
      <c r="G1206" s="1135"/>
      <c r="H1206" s="1135"/>
      <c r="I1206" s="1135"/>
      <c r="J1206" s="1135"/>
      <c r="K1206" s="1135"/>
      <c r="L1206" s="1135"/>
      <c r="M1206" s="1135"/>
      <c r="N1206" s="1135"/>
      <c r="O1206" s="1135"/>
      <c r="P1206" s="1135"/>
    </row>
    <row r="1207" spans="3:16">
      <c r="C1207" s="1135"/>
      <c r="D1207" s="1135"/>
      <c r="E1207" s="1135"/>
      <c r="F1207" s="1135"/>
      <c r="G1207" s="1135"/>
      <c r="H1207" s="1135"/>
      <c r="I1207" s="1135"/>
      <c r="J1207" s="1135"/>
      <c r="K1207" s="1135"/>
      <c r="L1207" s="1135"/>
      <c r="M1207" s="1135"/>
      <c r="N1207" s="1135"/>
      <c r="O1207" s="1135"/>
      <c r="P1207" s="1135"/>
    </row>
    <row r="1208" spans="3:16">
      <c r="C1208" s="1135"/>
      <c r="D1208" s="1135"/>
      <c r="E1208" s="1135"/>
      <c r="F1208" s="1135"/>
      <c r="G1208" s="1135"/>
      <c r="H1208" s="1135"/>
      <c r="I1208" s="1135"/>
      <c r="J1208" s="1135"/>
      <c r="K1208" s="1135"/>
      <c r="L1208" s="1135"/>
      <c r="M1208" s="1135"/>
      <c r="N1208" s="1135"/>
      <c r="O1208" s="1135"/>
      <c r="P1208" s="1135"/>
    </row>
    <row r="1209" spans="3:16">
      <c r="C1209" s="1135"/>
      <c r="D1209" s="1135"/>
      <c r="E1209" s="1135"/>
      <c r="F1209" s="1135"/>
      <c r="G1209" s="1135"/>
      <c r="H1209" s="1135"/>
      <c r="I1209" s="1135"/>
      <c r="J1209" s="1135"/>
      <c r="K1209" s="1135"/>
      <c r="L1209" s="1135"/>
      <c r="M1209" s="1135"/>
      <c r="N1209" s="1135"/>
      <c r="O1209" s="1135"/>
      <c r="P1209" s="1135"/>
    </row>
    <row r="1210" spans="3:16">
      <c r="C1210" s="1135"/>
      <c r="D1210" s="1135"/>
      <c r="E1210" s="1135"/>
      <c r="F1210" s="1135"/>
      <c r="G1210" s="1135"/>
      <c r="H1210" s="1135"/>
      <c r="I1210" s="1135"/>
      <c r="J1210" s="1135"/>
      <c r="K1210" s="1135"/>
      <c r="L1210" s="1135"/>
      <c r="M1210" s="1135"/>
      <c r="N1210" s="1135"/>
      <c r="O1210" s="1135"/>
      <c r="P1210" s="1135"/>
    </row>
    <row r="1211" spans="3:16">
      <c r="C1211" s="1135"/>
      <c r="D1211" s="1135"/>
      <c r="E1211" s="1135"/>
      <c r="F1211" s="1135"/>
      <c r="G1211" s="1135"/>
      <c r="H1211" s="1135"/>
      <c r="I1211" s="1135"/>
      <c r="J1211" s="1135"/>
      <c r="K1211" s="1135"/>
      <c r="L1211" s="1135"/>
      <c r="M1211" s="1135"/>
      <c r="N1211" s="1135"/>
      <c r="O1211" s="1135"/>
      <c r="P1211" s="1135"/>
    </row>
    <row r="1212" spans="3:16">
      <c r="C1212" s="1135"/>
      <c r="D1212" s="1135"/>
      <c r="E1212" s="1135"/>
      <c r="F1212" s="1135"/>
      <c r="G1212" s="1135"/>
      <c r="H1212" s="1135"/>
      <c r="I1212" s="1135"/>
      <c r="J1212" s="1135"/>
      <c r="K1212" s="1135"/>
      <c r="L1212" s="1135"/>
      <c r="M1212" s="1135"/>
      <c r="N1212" s="1135"/>
      <c r="O1212" s="1135"/>
      <c r="P1212" s="1135"/>
    </row>
    <row r="1213" spans="3:16">
      <c r="C1213" s="1135"/>
      <c r="D1213" s="1135"/>
      <c r="E1213" s="1135"/>
      <c r="F1213" s="1135"/>
      <c r="G1213" s="1135"/>
      <c r="H1213" s="1135"/>
      <c r="I1213" s="1135"/>
      <c r="J1213" s="1135"/>
      <c r="K1213" s="1135"/>
      <c r="L1213" s="1135"/>
      <c r="M1213" s="1135"/>
      <c r="N1213" s="1135"/>
      <c r="O1213" s="1135"/>
      <c r="P1213" s="1135"/>
    </row>
    <row r="1214" spans="3:16">
      <c r="C1214" s="1135"/>
      <c r="D1214" s="1135"/>
      <c r="E1214" s="1135"/>
      <c r="F1214" s="1135"/>
      <c r="G1214" s="1135"/>
      <c r="H1214" s="1135"/>
      <c r="I1214" s="1135"/>
      <c r="J1214" s="1135"/>
      <c r="K1214" s="1135"/>
      <c r="L1214" s="1135"/>
      <c r="M1214" s="1135"/>
      <c r="N1214" s="1135"/>
      <c r="O1214" s="1135"/>
      <c r="P1214" s="1135"/>
    </row>
    <row r="1215" spans="3:16">
      <c r="C1215" s="1135"/>
      <c r="D1215" s="1135"/>
      <c r="E1215" s="1135"/>
      <c r="F1215" s="1135"/>
      <c r="G1215" s="1135"/>
      <c r="H1215" s="1135"/>
      <c r="I1215" s="1135"/>
      <c r="J1215" s="1135"/>
      <c r="K1215" s="1135"/>
      <c r="L1215" s="1135"/>
      <c r="M1215" s="1135"/>
      <c r="N1215" s="1135"/>
      <c r="O1215" s="1135"/>
      <c r="P1215" s="1135"/>
    </row>
    <row r="1216" spans="3:16">
      <c r="C1216" s="1135"/>
      <c r="D1216" s="1135"/>
      <c r="E1216" s="1135"/>
      <c r="F1216" s="1135"/>
      <c r="G1216" s="1135"/>
      <c r="H1216" s="1135"/>
      <c r="I1216" s="1135"/>
      <c r="J1216" s="1135"/>
      <c r="K1216" s="1135"/>
      <c r="L1216" s="1135"/>
      <c r="M1216" s="1135"/>
      <c r="N1216" s="1135"/>
      <c r="O1216" s="1135"/>
      <c r="P1216" s="1135"/>
    </row>
    <row r="1217" spans="3:16">
      <c r="C1217" s="1135"/>
      <c r="D1217" s="1135"/>
      <c r="E1217" s="1135"/>
      <c r="F1217" s="1135"/>
      <c r="G1217" s="1135"/>
      <c r="H1217" s="1135"/>
      <c r="I1217" s="1135"/>
      <c r="J1217" s="1135"/>
      <c r="K1217" s="1135"/>
      <c r="L1217" s="1135"/>
      <c r="M1217" s="1135"/>
      <c r="N1217" s="1135"/>
      <c r="O1217" s="1135"/>
      <c r="P1217" s="1135"/>
    </row>
    <row r="1218" spans="3:16">
      <c r="C1218" s="1135"/>
      <c r="D1218" s="1135"/>
      <c r="E1218" s="1135"/>
      <c r="F1218" s="1135"/>
      <c r="G1218" s="1135"/>
      <c r="H1218" s="1135"/>
      <c r="I1218" s="1135"/>
      <c r="J1218" s="1135"/>
      <c r="K1218" s="1135"/>
      <c r="L1218" s="1135"/>
      <c r="M1218" s="1135"/>
      <c r="N1218" s="1135"/>
      <c r="O1218" s="1135"/>
      <c r="P1218" s="1135"/>
    </row>
    <row r="1219" spans="3:16">
      <c r="C1219" s="1135"/>
      <c r="D1219" s="1135"/>
      <c r="E1219" s="1135"/>
      <c r="F1219" s="1135"/>
      <c r="G1219" s="1135"/>
      <c r="H1219" s="1135"/>
      <c r="I1219" s="1135"/>
      <c r="J1219" s="1135"/>
      <c r="K1219" s="1135"/>
      <c r="L1219" s="1135"/>
      <c r="M1219" s="1135"/>
      <c r="N1219" s="1135"/>
      <c r="O1219" s="1135"/>
      <c r="P1219" s="1135"/>
    </row>
    <row r="1220" spans="3:16">
      <c r="C1220" s="1135"/>
      <c r="D1220" s="1135"/>
      <c r="E1220" s="1135"/>
      <c r="F1220" s="1135"/>
      <c r="G1220" s="1135"/>
      <c r="H1220" s="1135"/>
      <c r="I1220" s="1135"/>
      <c r="J1220" s="1135"/>
      <c r="K1220" s="1135"/>
      <c r="L1220" s="1135"/>
      <c r="M1220" s="1135"/>
      <c r="N1220" s="1135"/>
      <c r="O1220" s="1135"/>
      <c r="P1220" s="1135"/>
    </row>
    <row r="1221" spans="3:16">
      <c r="C1221" s="1135"/>
      <c r="D1221" s="1135"/>
      <c r="E1221" s="1135"/>
      <c r="F1221" s="1135"/>
      <c r="G1221" s="1135"/>
      <c r="H1221" s="1135"/>
      <c r="I1221" s="1135"/>
      <c r="J1221" s="1135"/>
      <c r="K1221" s="1135"/>
      <c r="L1221" s="1135"/>
      <c r="M1221" s="1135"/>
      <c r="N1221" s="1135"/>
      <c r="O1221" s="1135"/>
      <c r="P1221" s="1135"/>
    </row>
    <row r="1222" spans="3:16">
      <c r="C1222" s="1135"/>
      <c r="D1222" s="1135"/>
      <c r="E1222" s="1135"/>
      <c r="F1222" s="1135"/>
      <c r="G1222" s="1135"/>
      <c r="H1222" s="1135"/>
      <c r="I1222" s="1135"/>
      <c r="J1222" s="1135"/>
      <c r="K1222" s="1135"/>
      <c r="L1222" s="1135"/>
      <c r="M1222" s="1135"/>
      <c r="N1222" s="1135"/>
      <c r="O1222" s="1135"/>
      <c r="P1222" s="1135"/>
    </row>
    <row r="1223" spans="3:16">
      <c r="C1223" s="1135"/>
      <c r="D1223" s="1135"/>
      <c r="E1223" s="1135"/>
      <c r="F1223" s="1135"/>
      <c r="G1223" s="1135"/>
      <c r="H1223" s="1135"/>
      <c r="I1223" s="1135"/>
      <c r="J1223" s="1135"/>
      <c r="K1223" s="1135"/>
      <c r="L1223" s="1135"/>
      <c r="M1223" s="1135"/>
      <c r="N1223" s="1135"/>
      <c r="O1223" s="1135"/>
      <c r="P1223" s="1135"/>
    </row>
    <row r="1224" spans="3:16">
      <c r="C1224" s="1135"/>
      <c r="D1224" s="1135"/>
      <c r="E1224" s="1135"/>
      <c r="F1224" s="1135"/>
      <c r="G1224" s="1135"/>
      <c r="H1224" s="1135"/>
      <c r="I1224" s="1135"/>
      <c r="J1224" s="1135"/>
      <c r="K1224" s="1135"/>
      <c r="L1224" s="1135"/>
      <c r="M1224" s="1135"/>
      <c r="N1224" s="1135"/>
      <c r="O1224" s="1135"/>
      <c r="P1224" s="1135"/>
    </row>
    <row r="1225" spans="3:16">
      <c r="C1225" s="1135"/>
      <c r="D1225" s="1135"/>
      <c r="E1225" s="1135"/>
      <c r="F1225" s="1135"/>
      <c r="G1225" s="1135"/>
      <c r="H1225" s="1135"/>
      <c r="I1225" s="1135"/>
      <c r="J1225" s="1135"/>
      <c r="K1225" s="1135"/>
      <c r="L1225" s="1135"/>
      <c r="M1225" s="1135"/>
      <c r="N1225" s="1135"/>
      <c r="O1225" s="1135"/>
      <c r="P1225" s="1135"/>
    </row>
    <row r="1226" spans="3:16">
      <c r="C1226" s="1135"/>
      <c r="D1226" s="1135"/>
      <c r="E1226" s="1135"/>
      <c r="F1226" s="1135"/>
      <c r="G1226" s="1135"/>
      <c r="H1226" s="1135"/>
      <c r="I1226" s="1135"/>
      <c r="J1226" s="1135"/>
      <c r="K1226" s="1135"/>
      <c r="L1226" s="1135"/>
      <c r="M1226" s="1135"/>
      <c r="N1226" s="1135"/>
      <c r="O1226" s="1135"/>
      <c r="P1226" s="1135"/>
    </row>
    <row r="1227" spans="3:16">
      <c r="C1227" s="1135"/>
      <c r="D1227" s="1135"/>
      <c r="E1227" s="1135"/>
      <c r="F1227" s="1135"/>
      <c r="G1227" s="1135"/>
      <c r="H1227" s="1135"/>
      <c r="I1227" s="1135"/>
      <c r="J1227" s="1135"/>
      <c r="K1227" s="1135"/>
      <c r="L1227" s="1135"/>
      <c r="M1227" s="1135"/>
      <c r="N1227" s="1135"/>
      <c r="O1227" s="1135"/>
      <c r="P1227" s="1135"/>
    </row>
    <row r="1228" spans="3:16">
      <c r="C1228" s="1135"/>
      <c r="D1228" s="1135"/>
      <c r="E1228" s="1135"/>
      <c r="F1228" s="1135"/>
      <c r="G1228" s="1135"/>
      <c r="H1228" s="1135"/>
      <c r="I1228" s="1135"/>
      <c r="J1228" s="1135"/>
      <c r="K1228" s="1135"/>
      <c r="L1228" s="1135"/>
      <c r="M1228" s="1135"/>
      <c r="N1228" s="1135"/>
      <c r="O1228" s="1135"/>
      <c r="P1228" s="1135"/>
    </row>
    <row r="1229" spans="3:16">
      <c r="C1229" s="1135"/>
      <c r="D1229" s="1135"/>
      <c r="E1229" s="1135"/>
      <c r="F1229" s="1135"/>
      <c r="G1229" s="1135"/>
      <c r="H1229" s="1135"/>
      <c r="I1229" s="1135"/>
      <c r="J1229" s="1135"/>
      <c r="K1229" s="1135"/>
      <c r="L1229" s="1135"/>
      <c r="M1229" s="1135"/>
      <c r="N1229" s="1135"/>
      <c r="O1229" s="1135"/>
      <c r="P1229" s="1135"/>
    </row>
    <row r="1230" spans="3:16">
      <c r="C1230" s="1135"/>
      <c r="D1230" s="1135"/>
      <c r="E1230" s="1135"/>
      <c r="F1230" s="1135"/>
      <c r="G1230" s="1135"/>
      <c r="H1230" s="1135"/>
      <c r="I1230" s="1135"/>
      <c r="J1230" s="1135"/>
      <c r="K1230" s="1135"/>
      <c r="L1230" s="1135"/>
      <c r="M1230" s="1135"/>
      <c r="N1230" s="1135"/>
      <c r="O1230" s="1135"/>
      <c r="P1230" s="1135"/>
    </row>
    <row r="1231" spans="3:16">
      <c r="C1231" s="1135"/>
      <c r="D1231" s="1135"/>
      <c r="E1231" s="1135"/>
      <c r="F1231" s="1135"/>
      <c r="G1231" s="1135"/>
      <c r="H1231" s="1135"/>
      <c r="I1231" s="1135"/>
      <c r="J1231" s="1135"/>
      <c r="K1231" s="1135"/>
      <c r="L1231" s="1135"/>
      <c r="M1231" s="1135"/>
      <c r="N1231" s="1135"/>
      <c r="O1231" s="1135"/>
      <c r="P1231" s="1135"/>
    </row>
    <row r="1232" spans="3:16">
      <c r="C1232" s="1135"/>
      <c r="D1232" s="1135"/>
      <c r="E1232" s="1135"/>
      <c r="F1232" s="1135"/>
      <c r="G1232" s="1135"/>
      <c r="H1232" s="1135"/>
      <c r="I1232" s="1135"/>
      <c r="J1232" s="1135"/>
      <c r="K1232" s="1135"/>
      <c r="L1232" s="1135"/>
      <c r="M1232" s="1135"/>
      <c r="N1232" s="1135"/>
      <c r="O1232" s="1135"/>
      <c r="P1232" s="1135"/>
    </row>
    <row r="1233" spans="3:16">
      <c r="C1233" s="1135"/>
      <c r="D1233" s="1135"/>
      <c r="E1233" s="1135"/>
      <c r="F1233" s="1135"/>
      <c r="G1233" s="1135"/>
      <c r="H1233" s="1135"/>
      <c r="I1233" s="1135"/>
      <c r="J1233" s="1135"/>
      <c r="K1233" s="1135"/>
      <c r="L1233" s="1135"/>
      <c r="M1233" s="1135"/>
      <c r="N1233" s="1135"/>
      <c r="O1233" s="1135"/>
      <c r="P1233" s="1135"/>
    </row>
    <row r="1234" spans="3:16">
      <c r="C1234" s="1135"/>
      <c r="D1234" s="1135"/>
      <c r="E1234" s="1135"/>
      <c r="F1234" s="1135"/>
      <c r="G1234" s="1135"/>
      <c r="H1234" s="1135"/>
      <c r="I1234" s="1135"/>
      <c r="J1234" s="1135"/>
      <c r="K1234" s="1135"/>
      <c r="L1234" s="1135"/>
      <c r="M1234" s="1135"/>
      <c r="N1234" s="1135"/>
      <c r="O1234" s="1135"/>
      <c r="P1234" s="1135"/>
    </row>
    <row r="1235" spans="3:16">
      <c r="C1235" s="1135"/>
      <c r="D1235" s="1135"/>
      <c r="E1235" s="1135"/>
      <c r="F1235" s="1135"/>
      <c r="G1235" s="1135"/>
      <c r="H1235" s="1135"/>
      <c r="I1235" s="1135"/>
      <c r="J1235" s="1135"/>
      <c r="K1235" s="1135"/>
      <c r="L1235" s="1135"/>
      <c r="M1235" s="1135"/>
      <c r="N1235" s="1135"/>
      <c r="O1235" s="1135"/>
      <c r="P1235" s="1135"/>
    </row>
    <row r="1236" spans="3:16">
      <c r="C1236" s="1135"/>
      <c r="D1236" s="1135"/>
      <c r="E1236" s="1135"/>
      <c r="F1236" s="1135"/>
      <c r="G1236" s="1135"/>
      <c r="H1236" s="1135"/>
      <c r="I1236" s="1135"/>
      <c r="J1236" s="1135"/>
      <c r="K1236" s="1135"/>
      <c r="L1236" s="1135"/>
      <c r="M1236" s="1135"/>
      <c r="N1236" s="1135"/>
      <c r="O1236" s="1135"/>
      <c r="P1236" s="1135"/>
    </row>
    <row r="1237" spans="3:16">
      <c r="C1237" s="1135"/>
      <c r="D1237" s="1135"/>
      <c r="E1237" s="1135"/>
      <c r="F1237" s="1135"/>
      <c r="G1237" s="1135"/>
      <c r="H1237" s="1135"/>
      <c r="I1237" s="1135"/>
      <c r="J1237" s="1135"/>
      <c r="K1237" s="1135"/>
      <c r="L1237" s="1135"/>
      <c r="M1237" s="1135"/>
      <c r="N1237" s="1135"/>
      <c r="O1237" s="1135"/>
      <c r="P1237" s="1135"/>
    </row>
    <row r="1238" spans="3:16">
      <c r="C1238" s="1135"/>
      <c r="D1238" s="1135"/>
      <c r="E1238" s="1135"/>
      <c r="F1238" s="1135"/>
      <c r="G1238" s="1135"/>
      <c r="H1238" s="1135"/>
      <c r="I1238" s="1135"/>
      <c r="J1238" s="1135"/>
      <c r="K1238" s="1135"/>
      <c r="L1238" s="1135"/>
      <c r="M1238" s="1135"/>
      <c r="N1238" s="1135"/>
      <c r="O1238" s="1135"/>
      <c r="P1238" s="1135"/>
    </row>
    <row r="1239" spans="3:16">
      <c r="C1239" s="1135"/>
      <c r="D1239" s="1135"/>
      <c r="E1239" s="1135"/>
      <c r="F1239" s="1135"/>
      <c r="G1239" s="1135"/>
      <c r="H1239" s="1135"/>
      <c r="I1239" s="1135"/>
      <c r="J1239" s="1135"/>
      <c r="K1239" s="1135"/>
      <c r="L1239" s="1135"/>
      <c r="M1239" s="1135"/>
      <c r="N1239" s="1135"/>
      <c r="O1239" s="1135"/>
      <c r="P1239" s="1135"/>
    </row>
    <row r="1240" spans="3:16">
      <c r="C1240" s="1135"/>
      <c r="D1240" s="1135"/>
      <c r="E1240" s="1135"/>
      <c r="F1240" s="1135"/>
      <c r="G1240" s="1135"/>
      <c r="H1240" s="1135"/>
      <c r="I1240" s="1135"/>
      <c r="J1240" s="1135"/>
      <c r="K1240" s="1135"/>
      <c r="L1240" s="1135"/>
      <c r="M1240" s="1135"/>
      <c r="N1240" s="1135"/>
      <c r="O1240" s="1135"/>
      <c r="P1240" s="1135"/>
    </row>
    <row r="1241" spans="3:16">
      <c r="C1241" s="1135"/>
      <c r="D1241" s="1135"/>
      <c r="E1241" s="1135"/>
      <c r="F1241" s="1135"/>
      <c r="G1241" s="1135"/>
      <c r="H1241" s="1135"/>
      <c r="I1241" s="1135"/>
      <c r="J1241" s="1135"/>
      <c r="K1241" s="1135"/>
      <c r="L1241" s="1135"/>
      <c r="M1241" s="1135"/>
      <c r="N1241" s="1135"/>
      <c r="O1241" s="1135"/>
      <c r="P1241" s="1135"/>
    </row>
    <row r="1242" spans="3:16">
      <c r="C1242" s="1135"/>
      <c r="D1242" s="1135"/>
      <c r="E1242" s="1135"/>
      <c r="F1242" s="1135"/>
      <c r="G1242" s="1135"/>
      <c r="H1242" s="1135"/>
      <c r="I1242" s="1135"/>
      <c r="J1242" s="1135"/>
      <c r="K1242" s="1135"/>
      <c r="L1242" s="1135"/>
      <c r="M1242" s="1135"/>
      <c r="N1242" s="1135"/>
      <c r="O1242" s="1135"/>
      <c r="P1242" s="1135"/>
    </row>
    <row r="1243" spans="3:16">
      <c r="C1243" s="1135"/>
      <c r="D1243" s="1135"/>
      <c r="E1243" s="1135"/>
      <c r="F1243" s="1135"/>
      <c r="G1243" s="1135"/>
      <c r="H1243" s="1135"/>
      <c r="I1243" s="1135"/>
      <c r="J1243" s="1135"/>
      <c r="K1243" s="1135"/>
      <c r="L1243" s="1135"/>
      <c r="M1243" s="1135"/>
      <c r="N1243" s="1135"/>
      <c r="O1243" s="1135"/>
      <c r="P1243" s="1135"/>
    </row>
    <row r="1244" spans="3:16">
      <c r="C1244" s="1135"/>
      <c r="D1244" s="1135"/>
      <c r="E1244" s="1135"/>
      <c r="F1244" s="1135"/>
      <c r="G1244" s="1135"/>
      <c r="H1244" s="1135"/>
      <c r="I1244" s="1135"/>
      <c r="J1244" s="1135"/>
      <c r="K1244" s="1135"/>
      <c r="L1244" s="1135"/>
      <c r="M1244" s="1135"/>
      <c r="N1244" s="1135"/>
      <c r="O1244" s="1135"/>
      <c r="P1244" s="1135"/>
    </row>
    <row r="1245" spans="3:16">
      <c r="C1245" s="1135"/>
      <c r="D1245" s="1135"/>
      <c r="E1245" s="1135"/>
      <c r="F1245" s="1135"/>
      <c r="G1245" s="1135"/>
      <c r="H1245" s="1135"/>
      <c r="I1245" s="1135"/>
      <c r="J1245" s="1135"/>
      <c r="K1245" s="1135"/>
      <c r="L1245" s="1135"/>
      <c r="M1245" s="1135"/>
      <c r="N1245" s="1135"/>
      <c r="O1245" s="1135"/>
      <c r="P1245" s="1135"/>
    </row>
    <row r="1246" spans="3:16">
      <c r="C1246" s="1135"/>
      <c r="D1246" s="1135"/>
      <c r="E1246" s="1135"/>
      <c r="F1246" s="1135"/>
      <c r="G1246" s="1135"/>
      <c r="H1246" s="1135"/>
      <c r="I1246" s="1135"/>
      <c r="J1246" s="1135"/>
      <c r="K1246" s="1135"/>
      <c r="L1246" s="1135"/>
      <c r="M1246" s="1135"/>
      <c r="N1246" s="1135"/>
      <c r="O1246" s="1135"/>
      <c r="P1246" s="1135"/>
    </row>
    <row r="1247" spans="3:16">
      <c r="C1247" s="1135"/>
      <c r="D1247" s="1135"/>
      <c r="E1247" s="1135"/>
      <c r="F1247" s="1135"/>
      <c r="G1247" s="1135"/>
      <c r="H1247" s="1135"/>
      <c r="I1247" s="1135"/>
      <c r="J1247" s="1135"/>
      <c r="K1247" s="1135"/>
      <c r="L1247" s="1135"/>
      <c r="M1247" s="1135"/>
      <c r="N1247" s="1135"/>
      <c r="O1247" s="1135"/>
      <c r="P1247" s="1135"/>
    </row>
    <row r="1248" spans="3:16">
      <c r="C1248" s="1135"/>
      <c r="D1248" s="1135"/>
      <c r="E1248" s="1135"/>
      <c r="F1248" s="1135"/>
      <c r="G1248" s="1135"/>
      <c r="H1248" s="1135"/>
      <c r="I1248" s="1135"/>
      <c r="J1248" s="1135"/>
      <c r="K1248" s="1135"/>
      <c r="L1248" s="1135"/>
      <c r="M1248" s="1135"/>
      <c r="N1248" s="1135"/>
      <c r="O1248" s="1135"/>
      <c r="P1248" s="1135"/>
    </row>
    <row r="1249" spans="3:16">
      <c r="C1249" s="1135"/>
      <c r="D1249" s="1135"/>
      <c r="E1249" s="1135"/>
      <c r="F1249" s="1135"/>
      <c r="G1249" s="1135"/>
      <c r="H1249" s="1135"/>
      <c r="I1249" s="1135"/>
      <c r="J1249" s="1135"/>
      <c r="K1249" s="1135"/>
      <c r="L1249" s="1135"/>
      <c r="M1249" s="1135"/>
      <c r="N1249" s="1135"/>
      <c r="O1249" s="1135"/>
      <c r="P1249" s="1135"/>
    </row>
    <row r="1250" spans="3:16">
      <c r="C1250" s="1135"/>
      <c r="D1250" s="1135"/>
      <c r="E1250" s="1135"/>
      <c r="F1250" s="1135"/>
      <c r="G1250" s="1135"/>
      <c r="H1250" s="1135"/>
      <c r="I1250" s="1135"/>
      <c r="J1250" s="1135"/>
      <c r="K1250" s="1135"/>
      <c r="L1250" s="1135"/>
      <c r="M1250" s="1135"/>
      <c r="N1250" s="1135"/>
      <c r="O1250" s="1135"/>
      <c r="P1250" s="1135"/>
    </row>
    <row r="1251" spans="3:16">
      <c r="C1251" s="1135"/>
      <c r="D1251" s="1135"/>
      <c r="E1251" s="1135"/>
      <c r="F1251" s="1135"/>
      <c r="G1251" s="1135"/>
      <c r="H1251" s="1135"/>
      <c r="I1251" s="1135"/>
      <c r="J1251" s="1135"/>
      <c r="K1251" s="1135"/>
      <c r="L1251" s="1135"/>
      <c r="M1251" s="1135"/>
      <c r="N1251" s="1135"/>
      <c r="O1251" s="1135"/>
      <c r="P1251" s="1135"/>
    </row>
    <row r="1252" spans="3:16">
      <c r="C1252" s="1135"/>
      <c r="D1252" s="1135"/>
      <c r="E1252" s="1135"/>
      <c r="F1252" s="1135"/>
      <c r="G1252" s="1135"/>
      <c r="H1252" s="1135"/>
      <c r="I1252" s="1135"/>
      <c r="J1252" s="1135"/>
      <c r="K1252" s="1135"/>
      <c r="L1252" s="1135"/>
      <c r="M1252" s="1135"/>
      <c r="N1252" s="1135"/>
      <c r="O1252" s="1135"/>
      <c r="P1252" s="1135"/>
    </row>
    <row r="1253" spans="3:16">
      <c r="C1253" s="1135"/>
      <c r="D1253" s="1135"/>
      <c r="E1253" s="1135"/>
      <c r="F1253" s="1135"/>
      <c r="G1253" s="1135"/>
      <c r="H1253" s="1135"/>
      <c r="I1253" s="1135"/>
      <c r="J1253" s="1135"/>
      <c r="K1253" s="1135"/>
      <c r="L1253" s="1135"/>
      <c r="M1253" s="1135"/>
      <c r="N1253" s="1135"/>
      <c r="O1253" s="1135"/>
      <c r="P1253" s="1135"/>
    </row>
    <row r="1254" spans="3:16">
      <c r="C1254" s="1135"/>
      <c r="D1254" s="1135"/>
      <c r="E1254" s="1135"/>
      <c r="F1254" s="1135"/>
      <c r="G1254" s="1135"/>
      <c r="H1254" s="1135"/>
      <c r="I1254" s="1135"/>
      <c r="J1254" s="1135"/>
      <c r="K1254" s="1135"/>
      <c r="L1254" s="1135"/>
      <c r="M1254" s="1135"/>
      <c r="N1254" s="1135"/>
      <c r="O1254" s="1135"/>
      <c r="P1254" s="1135"/>
    </row>
    <row r="1255" spans="3:16">
      <c r="C1255" s="1135"/>
      <c r="D1255" s="1135"/>
      <c r="E1255" s="1135"/>
      <c r="F1255" s="1135"/>
      <c r="G1255" s="1135"/>
      <c r="H1255" s="1135"/>
      <c r="I1255" s="1135"/>
      <c r="J1255" s="1135"/>
      <c r="K1255" s="1135"/>
      <c r="L1255" s="1135"/>
      <c r="M1255" s="1135"/>
      <c r="N1255" s="1135"/>
      <c r="O1255" s="1135"/>
      <c r="P1255" s="1135"/>
    </row>
    <row r="1256" spans="3:16">
      <c r="C1256" s="1135"/>
      <c r="D1256" s="1135"/>
      <c r="E1256" s="1135"/>
      <c r="F1256" s="1135"/>
      <c r="G1256" s="1135"/>
      <c r="H1256" s="1135"/>
      <c r="I1256" s="1135"/>
      <c r="J1256" s="1135"/>
      <c r="K1256" s="1135"/>
      <c r="L1256" s="1135"/>
      <c r="M1256" s="1135"/>
      <c r="N1256" s="1135"/>
      <c r="O1256" s="1135"/>
      <c r="P1256" s="1135"/>
    </row>
    <row r="1257" spans="3:16">
      <c r="C1257" s="1135"/>
      <c r="D1257" s="1135"/>
      <c r="E1257" s="1135"/>
      <c r="F1257" s="1135"/>
      <c r="G1257" s="1135"/>
      <c r="H1257" s="1135"/>
      <c r="I1257" s="1135"/>
      <c r="J1257" s="1135"/>
      <c r="K1257" s="1135"/>
      <c r="L1257" s="1135"/>
      <c r="M1257" s="1135"/>
      <c r="N1257" s="1135"/>
      <c r="O1257" s="1135"/>
      <c r="P1257" s="1135"/>
    </row>
    <row r="1258" spans="3:16">
      <c r="C1258" s="1135"/>
      <c r="D1258" s="1135"/>
      <c r="E1258" s="1135"/>
      <c r="F1258" s="1135"/>
      <c r="G1258" s="1135"/>
      <c r="H1258" s="1135"/>
      <c r="I1258" s="1135"/>
      <c r="J1258" s="1135"/>
      <c r="K1258" s="1135"/>
      <c r="L1258" s="1135"/>
      <c r="M1258" s="1135"/>
      <c r="N1258" s="1135"/>
      <c r="O1258" s="1135"/>
      <c r="P1258" s="1135"/>
    </row>
    <row r="1259" spans="3:16">
      <c r="C1259" s="1135"/>
      <c r="D1259" s="1135"/>
      <c r="E1259" s="1135"/>
      <c r="F1259" s="1135"/>
      <c r="G1259" s="1135"/>
      <c r="H1259" s="1135"/>
      <c r="I1259" s="1135"/>
      <c r="J1259" s="1135"/>
      <c r="K1259" s="1135"/>
      <c r="L1259" s="1135"/>
      <c r="M1259" s="1135"/>
      <c r="N1259" s="1135"/>
      <c r="O1259" s="1135"/>
      <c r="P1259" s="1135"/>
    </row>
    <row r="1260" spans="3:16">
      <c r="C1260" s="1135"/>
      <c r="D1260" s="1135"/>
      <c r="E1260" s="1135"/>
      <c r="F1260" s="1135"/>
      <c r="G1260" s="1135"/>
      <c r="H1260" s="1135"/>
      <c r="I1260" s="1135"/>
      <c r="J1260" s="1135"/>
      <c r="K1260" s="1135"/>
      <c r="L1260" s="1135"/>
      <c r="M1260" s="1135"/>
      <c r="N1260" s="1135"/>
      <c r="O1260" s="1135"/>
      <c r="P1260" s="1135"/>
    </row>
    <row r="1261" spans="3:16">
      <c r="C1261" s="1135"/>
      <c r="D1261" s="1135"/>
      <c r="E1261" s="1135"/>
      <c r="F1261" s="1135"/>
      <c r="G1261" s="1135"/>
      <c r="H1261" s="1135"/>
      <c r="I1261" s="1135"/>
      <c r="J1261" s="1135"/>
      <c r="K1261" s="1135"/>
      <c r="L1261" s="1135"/>
      <c r="M1261" s="1135"/>
      <c r="N1261" s="1135"/>
      <c r="O1261" s="1135"/>
      <c r="P1261" s="1135"/>
    </row>
    <row r="1262" spans="3:16">
      <c r="C1262" s="1135"/>
      <c r="D1262" s="1135"/>
      <c r="E1262" s="1135"/>
      <c r="F1262" s="1135"/>
      <c r="G1262" s="1135"/>
      <c r="H1262" s="1135"/>
      <c r="I1262" s="1135"/>
      <c r="J1262" s="1135"/>
      <c r="K1262" s="1135"/>
      <c r="L1262" s="1135"/>
      <c r="M1262" s="1135"/>
      <c r="N1262" s="1135"/>
      <c r="O1262" s="1135"/>
      <c r="P1262" s="1135"/>
    </row>
    <row r="1263" spans="3:16">
      <c r="C1263" s="1135"/>
      <c r="D1263" s="1135"/>
      <c r="E1263" s="1135"/>
      <c r="F1263" s="1135"/>
      <c r="G1263" s="1135"/>
      <c r="H1263" s="1135"/>
      <c r="I1263" s="1135"/>
      <c r="J1263" s="1135"/>
      <c r="K1263" s="1135"/>
      <c r="L1263" s="1135"/>
      <c r="M1263" s="1135"/>
      <c r="N1263" s="1135"/>
      <c r="O1263" s="1135"/>
      <c r="P1263" s="1135"/>
    </row>
    <row r="1264" spans="3:16">
      <c r="C1264" s="1135"/>
      <c r="D1264" s="1135"/>
      <c r="E1264" s="1135"/>
      <c r="F1264" s="1135"/>
      <c r="G1264" s="1135"/>
      <c r="H1264" s="1135"/>
      <c r="I1264" s="1135"/>
      <c r="J1264" s="1135"/>
      <c r="K1264" s="1135"/>
      <c r="L1264" s="1135"/>
      <c r="M1264" s="1135"/>
      <c r="N1264" s="1135"/>
      <c r="O1264" s="1135"/>
      <c r="P1264" s="1135"/>
    </row>
    <row r="1265" spans="3:16">
      <c r="C1265" s="1135"/>
      <c r="D1265" s="1135"/>
      <c r="E1265" s="1135"/>
      <c r="F1265" s="1135"/>
      <c r="G1265" s="1135"/>
      <c r="H1265" s="1135"/>
      <c r="I1265" s="1135"/>
      <c r="J1265" s="1135"/>
      <c r="K1265" s="1135"/>
      <c r="L1265" s="1135"/>
      <c r="M1265" s="1135"/>
      <c r="N1265" s="1135"/>
      <c r="O1265" s="1135"/>
      <c r="P1265" s="1135"/>
    </row>
    <row r="1266" spans="3:16">
      <c r="C1266" s="1135"/>
      <c r="D1266" s="1135"/>
      <c r="E1266" s="1135"/>
      <c r="F1266" s="1135"/>
      <c r="G1266" s="1135"/>
      <c r="H1266" s="1135"/>
      <c r="I1266" s="1135"/>
      <c r="J1266" s="1135"/>
      <c r="K1266" s="1135"/>
      <c r="L1266" s="1135"/>
      <c r="M1266" s="1135"/>
      <c r="N1266" s="1135"/>
      <c r="O1266" s="1135"/>
      <c r="P1266" s="1135"/>
    </row>
    <row r="1267" spans="3:16">
      <c r="C1267" s="1135"/>
      <c r="D1267" s="1135"/>
      <c r="E1267" s="1135"/>
      <c r="F1267" s="1135"/>
      <c r="G1267" s="1135"/>
      <c r="H1267" s="1135"/>
      <c r="I1267" s="1135"/>
      <c r="J1267" s="1135"/>
      <c r="K1267" s="1135"/>
      <c r="L1267" s="1135"/>
      <c r="M1267" s="1135"/>
      <c r="N1267" s="1135"/>
      <c r="O1267" s="1135"/>
      <c r="P1267" s="1135"/>
    </row>
    <row r="1268" spans="3:16">
      <c r="C1268" s="1135"/>
      <c r="D1268" s="1135"/>
      <c r="E1268" s="1135"/>
      <c r="F1268" s="1135"/>
      <c r="G1268" s="1135"/>
      <c r="H1268" s="1135"/>
      <c r="I1268" s="1135"/>
      <c r="J1268" s="1135"/>
      <c r="K1268" s="1135"/>
      <c r="L1268" s="1135"/>
      <c r="M1268" s="1135"/>
      <c r="N1268" s="1135"/>
      <c r="O1268" s="1135"/>
      <c r="P1268" s="1135"/>
    </row>
    <row r="1269" spans="3:16">
      <c r="C1269" s="1135"/>
      <c r="D1269" s="1135"/>
      <c r="E1269" s="1135"/>
      <c r="F1269" s="1135"/>
      <c r="G1269" s="1135"/>
      <c r="H1269" s="1135"/>
      <c r="I1269" s="1135"/>
      <c r="J1269" s="1135"/>
      <c r="K1269" s="1135"/>
      <c r="L1269" s="1135"/>
      <c r="M1269" s="1135"/>
      <c r="N1269" s="1135"/>
      <c r="O1269" s="1135"/>
      <c r="P1269" s="1135"/>
    </row>
    <row r="1270" spans="3:16">
      <c r="C1270" s="1135"/>
      <c r="D1270" s="1135"/>
      <c r="E1270" s="1135"/>
      <c r="F1270" s="1135"/>
      <c r="G1270" s="1135"/>
      <c r="H1270" s="1135"/>
      <c r="I1270" s="1135"/>
      <c r="J1270" s="1135"/>
      <c r="K1270" s="1135"/>
      <c r="L1270" s="1135"/>
      <c r="M1270" s="1135"/>
      <c r="N1270" s="1135"/>
      <c r="O1270" s="1135"/>
      <c r="P1270" s="1135"/>
    </row>
    <row r="1271" spans="3:16">
      <c r="C1271" s="1135"/>
      <c r="D1271" s="1135"/>
      <c r="E1271" s="1135"/>
      <c r="F1271" s="1135"/>
      <c r="G1271" s="1135"/>
      <c r="H1271" s="1135"/>
      <c r="I1271" s="1135"/>
      <c r="J1271" s="1135"/>
      <c r="K1271" s="1135"/>
      <c r="L1271" s="1135"/>
      <c r="M1271" s="1135"/>
      <c r="N1271" s="1135"/>
      <c r="O1271" s="1135"/>
      <c r="P1271" s="1135"/>
    </row>
    <row r="1272" spans="3:16">
      <c r="C1272" s="1135"/>
      <c r="D1272" s="1135"/>
      <c r="E1272" s="1135"/>
      <c r="F1272" s="1135"/>
      <c r="G1272" s="1135"/>
      <c r="H1272" s="1135"/>
      <c r="I1272" s="1135"/>
      <c r="J1272" s="1135"/>
      <c r="K1272" s="1135"/>
      <c r="L1272" s="1135"/>
      <c r="M1272" s="1135"/>
      <c r="N1272" s="1135"/>
      <c r="O1272" s="1135"/>
      <c r="P1272" s="1135"/>
    </row>
    <row r="1273" spans="3:16">
      <c r="C1273" s="1135"/>
      <c r="D1273" s="1135"/>
      <c r="E1273" s="1135"/>
      <c r="F1273" s="1135"/>
      <c r="G1273" s="1135"/>
      <c r="H1273" s="1135"/>
      <c r="I1273" s="1135"/>
      <c r="J1273" s="1135"/>
      <c r="K1273" s="1135"/>
      <c r="L1273" s="1135"/>
      <c r="M1273" s="1135"/>
      <c r="N1273" s="1135"/>
      <c r="O1273" s="1135"/>
      <c r="P1273" s="1135"/>
    </row>
    <row r="1274" spans="3:16">
      <c r="C1274" s="1135"/>
      <c r="D1274" s="1135"/>
      <c r="E1274" s="1135"/>
      <c r="F1274" s="1135"/>
      <c r="G1274" s="1135"/>
      <c r="H1274" s="1135"/>
      <c r="I1274" s="1135"/>
      <c r="J1274" s="1135"/>
      <c r="K1274" s="1135"/>
      <c r="L1274" s="1135"/>
      <c r="M1274" s="1135"/>
      <c r="N1274" s="1135"/>
      <c r="O1274" s="1135"/>
      <c r="P1274" s="1135"/>
    </row>
    <row r="1275" spans="3:16">
      <c r="C1275" s="1135"/>
      <c r="D1275" s="1135"/>
      <c r="E1275" s="1135"/>
      <c r="F1275" s="1135"/>
      <c r="G1275" s="1135"/>
      <c r="H1275" s="1135"/>
      <c r="I1275" s="1135"/>
      <c r="J1275" s="1135"/>
      <c r="K1275" s="1135"/>
      <c r="L1275" s="1135"/>
      <c r="M1275" s="1135"/>
      <c r="N1275" s="1135"/>
      <c r="O1275" s="1135"/>
      <c r="P1275" s="1135"/>
    </row>
    <row r="1276" spans="3:16">
      <c r="C1276" s="1135"/>
      <c r="D1276" s="1135"/>
      <c r="E1276" s="1135"/>
      <c r="F1276" s="1135"/>
      <c r="G1276" s="1135"/>
      <c r="H1276" s="1135"/>
      <c r="I1276" s="1135"/>
      <c r="J1276" s="1135"/>
      <c r="K1276" s="1135"/>
      <c r="L1276" s="1135"/>
      <c r="M1276" s="1135"/>
      <c r="N1276" s="1135"/>
      <c r="O1276" s="1135"/>
      <c r="P1276" s="1135"/>
    </row>
    <row r="1277" spans="3:16">
      <c r="C1277" s="1135"/>
      <c r="D1277" s="1135"/>
      <c r="E1277" s="1135"/>
      <c r="F1277" s="1135"/>
      <c r="G1277" s="1135"/>
      <c r="H1277" s="1135"/>
      <c r="I1277" s="1135"/>
      <c r="J1277" s="1135"/>
      <c r="K1277" s="1135"/>
      <c r="L1277" s="1135"/>
      <c r="M1277" s="1135"/>
      <c r="N1277" s="1135"/>
      <c r="O1277" s="1135"/>
      <c r="P1277" s="1135"/>
    </row>
    <row r="1278" spans="3:16">
      <c r="C1278" s="1135"/>
      <c r="D1278" s="1135"/>
      <c r="E1278" s="1135"/>
      <c r="F1278" s="1135"/>
      <c r="G1278" s="1135"/>
      <c r="H1278" s="1135"/>
      <c r="I1278" s="1135"/>
      <c r="J1278" s="1135"/>
      <c r="K1278" s="1135"/>
      <c r="L1278" s="1135"/>
      <c r="M1278" s="1135"/>
      <c r="N1278" s="1135"/>
      <c r="O1278" s="1135"/>
      <c r="P1278" s="1135"/>
    </row>
    <row r="1279" spans="3:16">
      <c r="C1279" s="1135"/>
      <c r="D1279" s="1135"/>
      <c r="E1279" s="1135"/>
      <c r="F1279" s="1135"/>
      <c r="G1279" s="1135"/>
      <c r="H1279" s="1135"/>
      <c r="I1279" s="1135"/>
      <c r="J1279" s="1135"/>
      <c r="K1279" s="1135"/>
      <c r="L1279" s="1135"/>
      <c r="M1279" s="1135"/>
      <c r="N1279" s="1135"/>
      <c r="O1279" s="1135"/>
      <c r="P1279" s="1135"/>
    </row>
    <row r="1280" spans="3:16">
      <c r="C1280" s="1135"/>
      <c r="D1280" s="1135"/>
      <c r="E1280" s="1135"/>
      <c r="F1280" s="1135"/>
      <c r="G1280" s="1135"/>
      <c r="H1280" s="1135"/>
      <c r="I1280" s="1135"/>
      <c r="J1280" s="1135"/>
      <c r="K1280" s="1135"/>
      <c r="L1280" s="1135"/>
      <c r="M1280" s="1135"/>
      <c r="N1280" s="1135"/>
      <c r="O1280" s="1135"/>
      <c r="P1280" s="1135"/>
    </row>
    <row r="1281" spans="3:16">
      <c r="C1281" s="1135"/>
      <c r="D1281" s="1135"/>
      <c r="E1281" s="1135"/>
      <c r="F1281" s="1135"/>
      <c r="G1281" s="1135"/>
      <c r="H1281" s="1135"/>
      <c r="I1281" s="1135"/>
      <c r="J1281" s="1135"/>
      <c r="K1281" s="1135"/>
      <c r="L1281" s="1135"/>
      <c r="M1281" s="1135"/>
      <c r="N1281" s="1135"/>
      <c r="O1281" s="1135"/>
      <c r="P1281" s="1135"/>
    </row>
    <row r="1282" spans="3:16">
      <c r="C1282" s="1135"/>
      <c r="D1282" s="1135"/>
      <c r="E1282" s="1135"/>
      <c r="F1282" s="1135"/>
      <c r="G1282" s="1135"/>
      <c r="H1282" s="1135"/>
      <c r="I1282" s="1135"/>
      <c r="J1282" s="1135"/>
      <c r="K1282" s="1135"/>
      <c r="L1282" s="1135"/>
      <c r="M1282" s="1135"/>
      <c r="N1282" s="1135"/>
      <c r="O1282" s="1135"/>
      <c r="P1282" s="1135"/>
    </row>
    <row r="1283" spans="3:16">
      <c r="C1283" s="1135"/>
      <c r="D1283" s="1135"/>
      <c r="E1283" s="1135"/>
      <c r="F1283" s="1135"/>
      <c r="G1283" s="1135"/>
      <c r="H1283" s="1135"/>
      <c r="I1283" s="1135"/>
      <c r="J1283" s="1135"/>
      <c r="K1283" s="1135"/>
      <c r="L1283" s="1135"/>
      <c r="M1283" s="1135"/>
      <c r="N1283" s="1135"/>
      <c r="O1283" s="1135"/>
      <c r="P1283" s="1135"/>
    </row>
    <row r="1284" spans="3:16">
      <c r="C1284" s="1135"/>
      <c r="D1284" s="1135"/>
      <c r="E1284" s="1135"/>
      <c r="F1284" s="1135"/>
      <c r="G1284" s="1135"/>
      <c r="H1284" s="1135"/>
      <c r="I1284" s="1135"/>
      <c r="J1284" s="1135"/>
      <c r="K1284" s="1135"/>
      <c r="L1284" s="1135"/>
      <c r="M1284" s="1135"/>
      <c r="N1284" s="1135"/>
      <c r="O1284" s="1135"/>
      <c r="P1284" s="1135"/>
    </row>
    <row r="1285" spans="3:16">
      <c r="C1285" s="1135"/>
      <c r="D1285" s="1135"/>
      <c r="E1285" s="1135"/>
      <c r="F1285" s="1135"/>
      <c r="G1285" s="1135"/>
      <c r="H1285" s="1135"/>
      <c r="I1285" s="1135"/>
      <c r="J1285" s="1135"/>
      <c r="K1285" s="1135"/>
      <c r="L1285" s="1135"/>
      <c r="M1285" s="1135"/>
      <c r="N1285" s="1135"/>
      <c r="O1285" s="1135"/>
      <c r="P1285" s="1135"/>
    </row>
    <row r="1286" spans="3:16">
      <c r="C1286" s="1135"/>
      <c r="D1286" s="1135"/>
      <c r="E1286" s="1135"/>
      <c r="F1286" s="1135"/>
      <c r="G1286" s="1135"/>
      <c r="H1286" s="1135"/>
      <c r="I1286" s="1135"/>
      <c r="J1286" s="1135"/>
      <c r="K1286" s="1135"/>
      <c r="L1286" s="1135"/>
      <c r="M1286" s="1135"/>
      <c r="N1286" s="1135"/>
      <c r="O1286" s="1135"/>
      <c r="P1286" s="1135"/>
    </row>
    <row r="1287" spans="3:16">
      <c r="C1287" s="1135"/>
      <c r="D1287" s="1135"/>
      <c r="E1287" s="1135"/>
      <c r="F1287" s="1135"/>
      <c r="G1287" s="1135"/>
      <c r="H1287" s="1135"/>
      <c r="I1287" s="1135"/>
      <c r="J1287" s="1135"/>
      <c r="K1287" s="1135"/>
      <c r="L1287" s="1135"/>
      <c r="M1287" s="1135"/>
      <c r="N1287" s="1135"/>
      <c r="O1287" s="1135"/>
      <c r="P1287" s="1135"/>
    </row>
    <row r="1288" spans="3:16">
      <c r="C1288" s="1135"/>
      <c r="D1288" s="1135"/>
      <c r="E1288" s="1135"/>
      <c r="F1288" s="1135"/>
      <c r="G1288" s="1135"/>
      <c r="H1288" s="1135"/>
      <c r="I1288" s="1135"/>
      <c r="J1288" s="1135"/>
      <c r="K1288" s="1135"/>
      <c r="L1288" s="1135"/>
      <c r="M1288" s="1135"/>
      <c r="N1288" s="1135"/>
      <c r="O1288" s="1135"/>
      <c r="P1288" s="1135"/>
    </row>
    <row r="1289" spans="3:16">
      <c r="C1289" s="1135"/>
      <c r="D1289" s="1135"/>
      <c r="E1289" s="1135"/>
      <c r="F1289" s="1135"/>
      <c r="G1289" s="1135"/>
      <c r="H1289" s="1135"/>
      <c r="I1289" s="1135"/>
      <c r="J1289" s="1135"/>
      <c r="K1289" s="1135"/>
      <c r="L1289" s="1135"/>
      <c r="M1289" s="1135"/>
      <c r="N1289" s="1135"/>
      <c r="O1289" s="1135"/>
      <c r="P1289" s="1135"/>
    </row>
    <row r="1290" spans="3:16">
      <c r="C1290" s="1135"/>
      <c r="D1290" s="1135"/>
      <c r="E1290" s="1135"/>
      <c r="F1290" s="1135"/>
      <c r="G1290" s="1135"/>
      <c r="H1290" s="1135"/>
      <c r="I1290" s="1135"/>
      <c r="J1290" s="1135"/>
      <c r="K1290" s="1135"/>
      <c r="L1290" s="1135"/>
      <c r="M1290" s="1135"/>
      <c r="N1290" s="1135"/>
      <c r="O1290" s="1135"/>
      <c r="P1290" s="1135"/>
    </row>
    <row r="1291" spans="3:16">
      <c r="C1291" s="1135"/>
      <c r="D1291" s="1135"/>
      <c r="E1291" s="1135"/>
      <c r="F1291" s="1135"/>
      <c r="G1291" s="1135"/>
      <c r="H1291" s="1135"/>
      <c r="I1291" s="1135"/>
      <c r="J1291" s="1135"/>
      <c r="K1291" s="1135"/>
      <c r="L1291" s="1135"/>
      <c r="M1291" s="1135"/>
      <c r="N1291" s="1135"/>
      <c r="O1291" s="1135"/>
      <c r="P1291" s="1135"/>
    </row>
    <row r="1292" spans="3:16">
      <c r="C1292" s="1135"/>
      <c r="D1292" s="1135"/>
      <c r="E1292" s="1135"/>
      <c r="F1292" s="1135"/>
      <c r="G1292" s="1135"/>
      <c r="H1292" s="1135"/>
      <c r="I1292" s="1135"/>
      <c r="J1292" s="1135"/>
      <c r="K1292" s="1135"/>
      <c r="L1292" s="1135"/>
      <c r="M1292" s="1135"/>
      <c r="N1292" s="1135"/>
      <c r="O1292" s="1135"/>
      <c r="P1292" s="1135"/>
    </row>
    <row r="1293" spans="3:16">
      <c r="C1293" s="1135"/>
      <c r="D1293" s="1135"/>
      <c r="E1293" s="1135"/>
      <c r="F1293" s="1135"/>
      <c r="G1293" s="1135"/>
      <c r="H1293" s="1135"/>
      <c r="I1293" s="1135"/>
      <c r="J1293" s="1135"/>
      <c r="K1293" s="1135"/>
      <c r="L1293" s="1135"/>
      <c r="M1293" s="1135"/>
      <c r="N1293" s="1135"/>
      <c r="O1293" s="1135"/>
      <c r="P1293" s="1135"/>
    </row>
    <row r="1294" spans="3:16">
      <c r="C1294" s="1135"/>
      <c r="D1294" s="1135"/>
      <c r="E1294" s="1135"/>
      <c r="F1294" s="1135"/>
      <c r="G1294" s="1135"/>
      <c r="H1294" s="1135"/>
      <c r="I1294" s="1135"/>
      <c r="J1294" s="1135"/>
      <c r="K1294" s="1135"/>
      <c r="L1294" s="1135"/>
      <c r="M1294" s="1135"/>
      <c r="N1294" s="1135"/>
      <c r="O1294" s="1135"/>
      <c r="P1294" s="1135"/>
    </row>
    <row r="1295" spans="3:16">
      <c r="C1295" s="1135"/>
      <c r="D1295" s="1135"/>
      <c r="E1295" s="1135"/>
      <c r="F1295" s="1135"/>
      <c r="G1295" s="1135"/>
      <c r="H1295" s="1135"/>
      <c r="I1295" s="1135"/>
      <c r="J1295" s="1135"/>
      <c r="K1295" s="1135"/>
      <c r="L1295" s="1135"/>
      <c r="M1295" s="1135"/>
      <c r="N1295" s="1135"/>
      <c r="O1295" s="1135"/>
      <c r="P1295" s="1135"/>
    </row>
    <row r="1296" spans="3:16">
      <c r="C1296" s="1135"/>
      <c r="D1296" s="1135"/>
      <c r="E1296" s="1135"/>
      <c r="F1296" s="1135"/>
      <c r="G1296" s="1135"/>
      <c r="H1296" s="1135"/>
      <c r="I1296" s="1135"/>
      <c r="J1296" s="1135"/>
      <c r="K1296" s="1135"/>
      <c r="L1296" s="1135"/>
      <c r="M1296" s="1135"/>
      <c r="N1296" s="1135"/>
      <c r="O1296" s="1135"/>
      <c r="P1296" s="1135"/>
    </row>
    <row r="1297" spans="3:16">
      <c r="C1297" s="1135"/>
      <c r="D1297" s="1135"/>
      <c r="E1297" s="1135"/>
      <c r="F1297" s="1135"/>
      <c r="G1297" s="1135"/>
      <c r="H1297" s="1135"/>
      <c r="I1297" s="1135"/>
      <c r="J1297" s="1135"/>
      <c r="K1297" s="1135"/>
      <c r="L1297" s="1135"/>
      <c r="M1297" s="1135"/>
      <c r="N1297" s="1135"/>
      <c r="O1297" s="1135"/>
      <c r="P1297" s="1135"/>
    </row>
    <row r="1298" spans="3:16">
      <c r="C1298" s="1135"/>
      <c r="D1298" s="1135"/>
      <c r="E1298" s="1135"/>
      <c r="F1298" s="1135"/>
      <c r="G1298" s="1135"/>
      <c r="H1298" s="1135"/>
      <c r="I1298" s="1135"/>
      <c r="J1298" s="1135"/>
      <c r="K1298" s="1135"/>
      <c r="L1298" s="1135"/>
      <c r="M1298" s="1135"/>
      <c r="N1298" s="1135"/>
      <c r="O1298" s="1135"/>
      <c r="P1298" s="1135"/>
    </row>
    <row r="1299" spans="3:16">
      <c r="C1299" s="1135"/>
      <c r="D1299" s="1135"/>
      <c r="E1299" s="1135"/>
      <c r="F1299" s="1135"/>
      <c r="G1299" s="1135"/>
      <c r="H1299" s="1135"/>
      <c r="I1299" s="1135"/>
      <c r="J1299" s="1135"/>
      <c r="K1299" s="1135"/>
      <c r="L1299" s="1135"/>
      <c r="M1299" s="1135"/>
      <c r="N1299" s="1135"/>
      <c r="O1299" s="1135"/>
      <c r="P1299" s="1135"/>
    </row>
    <row r="1300" spans="3:16">
      <c r="C1300" s="1135"/>
      <c r="D1300" s="1135"/>
      <c r="E1300" s="1135"/>
      <c r="F1300" s="1135"/>
      <c r="G1300" s="1135"/>
      <c r="H1300" s="1135"/>
      <c r="I1300" s="1135"/>
      <c r="J1300" s="1135"/>
      <c r="K1300" s="1135"/>
      <c r="L1300" s="1135"/>
      <c r="M1300" s="1135"/>
      <c r="N1300" s="1135"/>
      <c r="O1300" s="1135"/>
      <c r="P1300" s="1135"/>
    </row>
    <row r="1301" spans="3:16">
      <c r="C1301" s="1135"/>
      <c r="D1301" s="1135"/>
      <c r="E1301" s="1135"/>
      <c r="F1301" s="1135"/>
      <c r="G1301" s="1135"/>
      <c r="H1301" s="1135"/>
      <c r="I1301" s="1135"/>
      <c r="J1301" s="1135"/>
      <c r="K1301" s="1135"/>
      <c r="L1301" s="1135"/>
      <c r="M1301" s="1135"/>
      <c r="N1301" s="1135"/>
      <c r="O1301" s="1135"/>
      <c r="P1301" s="1135"/>
    </row>
    <row r="1302" spans="3:16">
      <c r="C1302" s="1135"/>
      <c r="D1302" s="1135"/>
      <c r="E1302" s="1135"/>
      <c r="F1302" s="1135"/>
      <c r="G1302" s="1135"/>
      <c r="H1302" s="1135"/>
      <c r="I1302" s="1135"/>
      <c r="J1302" s="1135"/>
      <c r="K1302" s="1135"/>
      <c r="L1302" s="1135"/>
      <c r="M1302" s="1135"/>
      <c r="N1302" s="1135"/>
      <c r="O1302" s="1135"/>
      <c r="P1302" s="1135"/>
    </row>
  </sheetData>
  <sheetProtection password="D405" sheet="1" objects="1" scenarios="1"/>
  <phoneticPr fontId="140" type="noConversion"/>
  <printOptions horizontalCentered="1" gridLines="1"/>
  <pageMargins left="0.25" right="0.25" top="0.25" bottom="0.25" header="0.25" footer="0.25"/>
  <pageSetup fitToHeight="2"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dimension ref="A1:AF310"/>
  <sheetViews>
    <sheetView workbookViewId="0">
      <selection sqref="A1:B1"/>
    </sheetView>
  </sheetViews>
  <sheetFormatPr defaultRowHeight="11.25"/>
  <cols>
    <col min="1" max="1" width="22.33203125" customWidth="1"/>
    <col min="2" max="2" width="12.5" bestFit="1" customWidth="1"/>
    <col min="3" max="4" width="29.1640625" customWidth="1"/>
    <col min="5" max="5" width="38" bestFit="1" customWidth="1"/>
    <col min="6" max="6" width="10.33203125" bestFit="1" customWidth="1"/>
    <col min="7" max="7" width="18.83203125" bestFit="1" customWidth="1"/>
    <col min="8" max="8" width="11" bestFit="1" customWidth="1"/>
    <col min="9" max="9" width="8.83203125" bestFit="1" customWidth="1"/>
    <col min="10" max="10" width="25" bestFit="1" customWidth="1"/>
    <col min="11" max="11" width="11.1640625" bestFit="1" customWidth="1"/>
    <col min="12" max="12" width="10" bestFit="1" customWidth="1"/>
    <col min="13" max="13" width="9.83203125" bestFit="1" customWidth="1"/>
    <col min="14" max="14" width="25.5" bestFit="1" customWidth="1"/>
    <col min="15" max="15" width="11" bestFit="1" customWidth="1"/>
    <col min="16" max="16" width="11.83203125" bestFit="1" customWidth="1"/>
    <col min="17" max="17" width="11.1640625" bestFit="1" customWidth="1"/>
    <col min="18" max="18" width="11" bestFit="1" customWidth="1"/>
    <col min="19" max="19" width="54.5" bestFit="1" customWidth="1"/>
    <col min="20" max="20" width="36.5" bestFit="1" customWidth="1"/>
  </cols>
  <sheetData>
    <row r="1" spans="1:32" ht="19.5" customHeight="1">
      <c r="A1" s="1415" t="s">
        <v>1295</v>
      </c>
      <c r="B1" s="1415"/>
      <c r="C1" s="1122" t="s">
        <v>1296</v>
      </c>
      <c r="E1" s="1127" t="s">
        <v>1297</v>
      </c>
      <c r="V1" s="35"/>
      <c r="W1" s="35"/>
      <c r="X1" s="35"/>
      <c r="Y1" s="35"/>
      <c r="Z1" s="35"/>
      <c r="AA1" s="35"/>
      <c r="AB1" s="35"/>
      <c r="AC1" s="35"/>
      <c r="AD1" s="35"/>
      <c r="AE1" s="35"/>
      <c r="AF1" s="35"/>
    </row>
    <row r="2" spans="1:32" ht="12.75" customHeight="1">
      <c r="A2" s="1123" t="s">
        <v>12</v>
      </c>
      <c r="B2" s="1124"/>
      <c r="C2" s="1123" t="s">
        <v>400</v>
      </c>
      <c r="E2" s="1128" t="s">
        <v>1298</v>
      </c>
      <c r="F2" s="1128" t="s">
        <v>1299</v>
      </c>
      <c r="G2" s="1128" t="s">
        <v>1300</v>
      </c>
      <c r="V2" s="35"/>
      <c r="W2" s="35"/>
      <c r="X2" s="35"/>
      <c r="Y2" s="35"/>
      <c r="Z2" s="35"/>
      <c r="AA2" s="35"/>
      <c r="AB2" s="35"/>
      <c r="AC2" s="35"/>
      <c r="AD2" s="35"/>
      <c r="AE2" s="35"/>
      <c r="AF2" s="35"/>
    </row>
    <row r="3" spans="1:32" ht="12.75" customHeight="1">
      <c r="A3" s="1123" t="s">
        <v>13</v>
      </c>
      <c r="B3" s="1124"/>
      <c r="C3" s="1123" t="s">
        <v>180</v>
      </c>
      <c r="E3" s="1125" t="s">
        <v>1411</v>
      </c>
      <c r="F3" s="60">
        <v>1</v>
      </c>
      <c r="G3" s="61">
        <v>0.7</v>
      </c>
      <c r="V3" s="35"/>
      <c r="W3" s="35"/>
      <c r="X3" s="35"/>
      <c r="Y3" s="35"/>
      <c r="Z3" s="35"/>
      <c r="AA3" s="35"/>
      <c r="AB3" s="35"/>
      <c r="AC3" s="35"/>
      <c r="AD3" s="35"/>
      <c r="AE3" s="35"/>
      <c r="AF3" s="35"/>
    </row>
    <row r="4" spans="1:32" ht="12.75" customHeight="1">
      <c r="A4" s="1123" t="s">
        <v>14</v>
      </c>
      <c r="B4" s="1124"/>
      <c r="C4" s="1123" t="s">
        <v>1371</v>
      </c>
      <c r="E4" s="1125" t="s">
        <v>108</v>
      </c>
      <c r="F4" s="60">
        <v>1</v>
      </c>
      <c r="G4" s="61">
        <v>0.7</v>
      </c>
      <c r="V4" s="35"/>
      <c r="W4" s="35"/>
      <c r="X4" s="35"/>
      <c r="Y4" s="35"/>
      <c r="Z4" s="35"/>
      <c r="AA4" s="35"/>
      <c r="AB4" s="35"/>
      <c r="AC4" s="35"/>
      <c r="AD4" s="35"/>
      <c r="AE4" s="35"/>
      <c r="AF4" s="35"/>
    </row>
    <row r="5" spans="1:32" ht="12.75" customHeight="1">
      <c r="A5" s="1123" t="s">
        <v>15</v>
      </c>
      <c r="B5" s="1124"/>
      <c r="C5" s="1123" t="s">
        <v>392</v>
      </c>
      <c r="E5" s="1125" t="s">
        <v>109</v>
      </c>
      <c r="F5" s="60">
        <v>1.5</v>
      </c>
      <c r="G5" s="61">
        <v>0.75</v>
      </c>
      <c r="V5" s="35"/>
      <c r="W5" s="35"/>
      <c r="X5" s="35"/>
      <c r="Y5" s="35"/>
      <c r="Z5" s="35"/>
      <c r="AA5" s="35"/>
      <c r="AB5" s="35"/>
      <c r="AC5" s="35"/>
      <c r="AD5" s="35"/>
      <c r="AE5" s="35"/>
      <c r="AF5" s="35"/>
    </row>
    <row r="6" spans="1:32" ht="12.75" customHeight="1">
      <c r="A6" s="1123" t="s">
        <v>16</v>
      </c>
      <c r="B6" s="1124"/>
      <c r="C6" s="1123" t="s">
        <v>1374</v>
      </c>
      <c r="E6" s="1125" t="s">
        <v>1321</v>
      </c>
      <c r="F6" s="60">
        <v>3</v>
      </c>
      <c r="G6" s="61">
        <v>0.9</v>
      </c>
      <c r="V6" s="35"/>
      <c r="W6" s="35"/>
      <c r="X6" s="35"/>
      <c r="Y6" s="35"/>
      <c r="Z6" s="35"/>
      <c r="AA6" s="35"/>
      <c r="AB6" s="35"/>
      <c r="AC6" s="35"/>
      <c r="AD6" s="35"/>
      <c r="AE6" s="35"/>
      <c r="AF6" s="35"/>
    </row>
    <row r="7" spans="1:32" ht="12.75" customHeight="1">
      <c r="A7" s="1123" t="s">
        <v>17</v>
      </c>
      <c r="B7" s="1124"/>
      <c r="C7" s="1123" t="s">
        <v>1372</v>
      </c>
      <c r="E7" s="1125" t="s">
        <v>1322</v>
      </c>
      <c r="F7" s="60">
        <v>4.5</v>
      </c>
      <c r="G7" s="61">
        <v>1.04</v>
      </c>
      <c r="V7" s="35"/>
      <c r="W7" s="35"/>
      <c r="X7" s="35"/>
      <c r="Y7" s="35"/>
      <c r="Z7" s="35"/>
      <c r="AA7" s="35"/>
      <c r="AB7" s="35"/>
      <c r="AC7" s="35"/>
      <c r="AD7" s="35"/>
      <c r="AE7" s="35"/>
      <c r="AF7" s="35"/>
    </row>
    <row r="8" spans="1:32" ht="12.75" customHeight="1">
      <c r="A8" s="1123" t="s">
        <v>18</v>
      </c>
      <c r="B8" s="1124"/>
      <c r="C8" s="1123" t="s">
        <v>393</v>
      </c>
      <c r="E8" s="1125" t="s">
        <v>1323</v>
      </c>
      <c r="F8" s="60">
        <v>6</v>
      </c>
      <c r="G8" s="61">
        <v>1.1599999999999999</v>
      </c>
      <c r="V8" s="35"/>
      <c r="W8" s="35"/>
      <c r="X8" s="35"/>
      <c r="Y8" s="35"/>
      <c r="Z8" s="35"/>
      <c r="AA8" s="35"/>
      <c r="AB8" s="35"/>
      <c r="AC8" s="35"/>
      <c r="AD8" s="35"/>
      <c r="AE8" s="35"/>
      <c r="AF8" s="35"/>
    </row>
    <row r="9" spans="1:32" ht="12.75" customHeight="1">
      <c r="A9" s="1123" t="s">
        <v>19</v>
      </c>
      <c r="B9" s="1124"/>
      <c r="C9" s="1123" t="s">
        <v>394</v>
      </c>
      <c r="E9" s="1126" t="s">
        <v>1324</v>
      </c>
      <c r="F9" s="1126">
        <v>7.5</v>
      </c>
      <c r="G9" s="1129">
        <v>1.28</v>
      </c>
      <c r="V9" s="35"/>
      <c r="W9" s="35"/>
      <c r="X9" s="35"/>
      <c r="Y9" s="35"/>
      <c r="Z9" s="35"/>
      <c r="AA9" s="35"/>
      <c r="AB9" s="35"/>
      <c r="AC9" s="35"/>
      <c r="AD9" s="35"/>
      <c r="AE9" s="35"/>
      <c r="AF9" s="35"/>
    </row>
    <row r="10" spans="1:32" ht="12.75" customHeight="1">
      <c r="A10" s="1123" t="s">
        <v>20</v>
      </c>
      <c r="B10" s="1124"/>
      <c r="C10" s="1123" t="s">
        <v>182</v>
      </c>
      <c r="E10" s="1126" t="s">
        <v>1325</v>
      </c>
      <c r="F10" s="1126">
        <v>9</v>
      </c>
      <c r="G10" s="1129">
        <v>1.4</v>
      </c>
      <c r="V10" s="35"/>
      <c r="W10" s="35"/>
      <c r="X10" s="35"/>
      <c r="Y10" s="35"/>
      <c r="Z10" s="35"/>
      <c r="AA10" s="35"/>
      <c r="AB10" s="35"/>
      <c r="AC10" s="35"/>
      <c r="AD10" s="35"/>
      <c r="AE10" s="35"/>
      <c r="AF10" s="35"/>
    </row>
    <row r="11" spans="1:32" ht="12.75" customHeight="1">
      <c r="A11" s="1123" t="s">
        <v>21</v>
      </c>
      <c r="B11" s="1124"/>
      <c r="C11" s="1123" t="s">
        <v>395</v>
      </c>
      <c r="V11" s="35"/>
      <c r="W11" s="35"/>
      <c r="X11" s="35"/>
      <c r="Y11" s="35"/>
      <c r="Z11" s="35"/>
      <c r="AA11" s="35"/>
      <c r="AB11" s="35"/>
      <c r="AC11" s="35"/>
      <c r="AD11" s="35"/>
      <c r="AE11" s="35"/>
      <c r="AF11" s="35"/>
    </row>
    <row r="12" spans="1:32" ht="12.75" customHeight="1">
      <c r="A12" s="1123" t="s">
        <v>24</v>
      </c>
      <c r="B12" s="1124"/>
      <c r="C12" s="1123" t="s">
        <v>396</v>
      </c>
      <c r="V12" s="35"/>
      <c r="W12" s="35"/>
      <c r="X12" s="35"/>
      <c r="Y12" s="35"/>
      <c r="Z12" s="35"/>
      <c r="AA12" s="35"/>
      <c r="AB12" s="35"/>
      <c r="AC12" s="35"/>
      <c r="AD12" s="35"/>
      <c r="AE12" s="35"/>
      <c r="AF12" s="35"/>
    </row>
    <row r="13" spans="1:32" ht="12.75" customHeight="1">
      <c r="A13" s="1123" t="s">
        <v>162</v>
      </c>
      <c r="B13" s="1124"/>
      <c r="C13" s="1123" t="s">
        <v>1376</v>
      </c>
      <c r="V13" s="35"/>
      <c r="W13" s="35"/>
      <c r="X13" s="35"/>
      <c r="Y13" s="35"/>
      <c r="Z13" s="35"/>
      <c r="AA13" s="35"/>
      <c r="AB13" s="35"/>
      <c r="AC13" s="35"/>
      <c r="AD13" s="35"/>
      <c r="AE13" s="35"/>
      <c r="AF13" s="35"/>
    </row>
    <row r="14" spans="1:32" ht="12.75" customHeight="1">
      <c r="A14" s="1123" t="s">
        <v>161</v>
      </c>
      <c r="B14" s="1124"/>
      <c r="C14" s="1123" t="s">
        <v>397</v>
      </c>
      <c r="V14" s="35"/>
      <c r="W14" s="35"/>
      <c r="X14" s="35"/>
      <c r="Y14" s="35"/>
      <c r="Z14" s="35"/>
      <c r="AA14" s="35"/>
      <c r="AB14" s="35"/>
      <c r="AC14" s="35"/>
      <c r="AD14" s="35"/>
      <c r="AE14" s="35"/>
      <c r="AF14" s="35"/>
    </row>
    <row r="15" spans="1:32" ht="12.75" customHeight="1">
      <c r="A15" s="1123" t="s">
        <v>1171</v>
      </c>
      <c r="B15" s="1124"/>
      <c r="C15" s="1123" t="s">
        <v>1373</v>
      </c>
      <c r="V15" s="35"/>
      <c r="W15" s="35"/>
      <c r="X15" s="35"/>
      <c r="Y15" s="35"/>
      <c r="Z15" s="35"/>
      <c r="AA15" s="35"/>
      <c r="AB15" s="35"/>
      <c r="AC15" s="35"/>
      <c r="AD15" s="35"/>
      <c r="AE15" s="35"/>
      <c r="AF15" s="35"/>
    </row>
    <row r="16" spans="1:32" ht="12.75" customHeight="1">
      <c r="A16" s="1123"/>
      <c r="B16" s="1124"/>
      <c r="C16" s="1123" t="s">
        <v>1375</v>
      </c>
      <c r="V16" s="35"/>
      <c r="W16" s="35"/>
      <c r="X16" s="35"/>
      <c r="Y16" s="35"/>
      <c r="Z16" s="35"/>
      <c r="AA16" s="35"/>
      <c r="AB16" s="35"/>
      <c r="AC16" s="35"/>
      <c r="AD16" s="35"/>
      <c r="AE16" s="35"/>
      <c r="AF16" s="35"/>
    </row>
    <row r="17" spans="1:32" ht="12.75" customHeight="1">
      <c r="A17" s="1123"/>
      <c r="B17" s="1124"/>
      <c r="C17" s="1123" t="s">
        <v>181</v>
      </c>
      <c r="V17" s="35"/>
      <c r="W17" s="35"/>
      <c r="X17" s="35"/>
      <c r="Y17" s="35"/>
      <c r="Z17" s="35"/>
      <c r="AA17" s="35"/>
      <c r="AB17" s="35"/>
      <c r="AC17" s="35"/>
      <c r="AD17" s="35"/>
      <c r="AE17" s="35"/>
      <c r="AF17" s="35"/>
    </row>
    <row r="18" spans="1:32" ht="12.75" customHeight="1">
      <c r="A18" s="1123"/>
      <c r="B18" s="1124"/>
      <c r="C18" s="1123" t="s">
        <v>399</v>
      </c>
      <c r="V18" s="35"/>
      <c r="W18" s="35"/>
      <c r="X18" s="35"/>
      <c r="Y18" s="35"/>
      <c r="Z18" s="35"/>
      <c r="AA18" s="35"/>
      <c r="AB18" s="35"/>
      <c r="AC18" s="35"/>
      <c r="AD18" s="35"/>
      <c r="AE18" s="35"/>
      <c r="AF18" s="35"/>
    </row>
    <row r="19" spans="1:32" ht="12.75" customHeight="1">
      <c r="A19" s="1123"/>
      <c r="B19" s="1124"/>
      <c r="C19" s="1123"/>
      <c r="V19" s="35"/>
      <c r="W19" s="35"/>
      <c r="X19" s="35"/>
      <c r="Y19" s="35"/>
      <c r="Z19" s="35"/>
      <c r="AA19" s="35"/>
      <c r="AB19" s="35"/>
      <c r="AC19" s="35"/>
      <c r="AD19" s="35"/>
      <c r="AE19" s="35"/>
      <c r="AF19" s="35"/>
    </row>
    <row r="20" spans="1:32" ht="12.75" customHeight="1">
      <c r="V20" s="35"/>
      <c r="W20" s="35"/>
      <c r="X20" s="35"/>
      <c r="Y20" s="35"/>
      <c r="Z20" s="35"/>
      <c r="AA20" s="35"/>
      <c r="AB20" s="35"/>
      <c r="AC20" s="35"/>
      <c r="AD20" s="35"/>
      <c r="AE20" s="35"/>
      <c r="AF20" s="35"/>
    </row>
    <row r="21" spans="1:32" ht="12.75" customHeight="1">
      <c r="V21" s="35"/>
      <c r="W21" s="35"/>
      <c r="X21" s="35"/>
      <c r="Y21" s="35"/>
      <c r="Z21" s="35"/>
      <c r="AA21" s="35"/>
      <c r="AB21" s="35"/>
      <c r="AC21" s="35"/>
      <c r="AD21" s="35"/>
      <c r="AE21" s="35"/>
      <c r="AF21" s="35"/>
    </row>
    <row r="22" spans="1:32" ht="12.75" customHeight="1">
      <c r="V22" s="35"/>
      <c r="W22" s="35"/>
      <c r="X22" s="35"/>
      <c r="Y22" s="35"/>
      <c r="Z22" s="35"/>
      <c r="AA22" s="35"/>
      <c r="AB22" s="35"/>
      <c r="AC22" s="35"/>
      <c r="AD22" s="35"/>
      <c r="AE22" s="35"/>
      <c r="AF22" s="35"/>
    </row>
    <row r="23" spans="1:32" ht="12.75" customHeight="1">
      <c r="V23" s="35"/>
      <c r="W23" s="35"/>
      <c r="X23" s="35"/>
      <c r="Y23" s="35"/>
      <c r="Z23" s="35"/>
      <c r="AA23" s="35"/>
      <c r="AB23" s="35"/>
      <c r="AC23" s="35"/>
      <c r="AD23" s="35"/>
      <c r="AE23" s="35"/>
      <c r="AF23" s="35"/>
    </row>
    <row r="24" spans="1:32" ht="12.75" customHeight="1">
      <c r="V24" s="35"/>
      <c r="W24" s="35"/>
      <c r="X24" s="35"/>
      <c r="Y24" s="35"/>
      <c r="Z24" s="35"/>
      <c r="AA24" s="35"/>
      <c r="AB24" s="35"/>
      <c r="AC24" s="35"/>
      <c r="AD24" s="35"/>
      <c r="AE24" s="35"/>
      <c r="AF24" s="35"/>
    </row>
    <row r="25" spans="1:32" ht="12.75" customHeight="1">
      <c r="V25" s="35"/>
      <c r="W25" s="35"/>
      <c r="X25" s="35"/>
      <c r="Y25" s="35"/>
      <c r="Z25" s="35"/>
      <c r="AA25" s="35"/>
      <c r="AB25" s="35"/>
      <c r="AC25" s="35"/>
      <c r="AD25" s="35"/>
      <c r="AE25" s="35"/>
      <c r="AF25" s="35"/>
    </row>
    <row r="26" spans="1:32" ht="12.75" customHeight="1">
      <c r="V26" s="35"/>
      <c r="W26" s="35"/>
      <c r="X26" s="35"/>
      <c r="Y26" s="35"/>
      <c r="Z26" s="35"/>
      <c r="AA26" s="35"/>
      <c r="AB26" s="35"/>
      <c r="AC26" s="35"/>
      <c r="AD26" s="35"/>
      <c r="AE26" s="35"/>
      <c r="AF26" s="35"/>
    </row>
    <row r="27" spans="1:32" s="1023" customFormat="1" ht="17.25" customHeight="1">
      <c r="V27" s="35"/>
      <c r="W27" s="35"/>
      <c r="X27" s="35"/>
      <c r="Y27" s="35"/>
      <c r="Z27" s="35"/>
      <c r="AA27" s="35"/>
      <c r="AB27" s="35"/>
      <c r="AC27" s="35"/>
      <c r="AD27" s="35"/>
      <c r="AE27" s="35"/>
      <c r="AF27" s="35"/>
    </row>
    <row r="28" spans="1:32" ht="12.75" customHeight="1">
      <c r="A28" s="1126"/>
      <c r="B28" s="1126"/>
      <c r="C28" s="1126"/>
      <c r="V28" s="35"/>
      <c r="W28" s="35"/>
      <c r="X28" s="35"/>
      <c r="Y28" s="35"/>
      <c r="Z28" s="35"/>
      <c r="AA28" s="35"/>
      <c r="AB28" s="35"/>
      <c r="AC28" s="35"/>
      <c r="AD28" s="35"/>
      <c r="AE28" s="35"/>
      <c r="AF28" s="35"/>
    </row>
    <row r="29" spans="1:32" ht="18" customHeight="1">
      <c r="A29" s="1130"/>
      <c r="B29" s="1130"/>
      <c r="C29" s="1130"/>
      <c r="V29" s="35"/>
      <c r="W29" s="35"/>
      <c r="X29" s="35"/>
      <c r="Y29" s="35"/>
      <c r="Z29" s="35"/>
      <c r="AA29" s="35"/>
      <c r="AB29" s="35"/>
      <c r="AC29" s="35"/>
      <c r="AD29" s="35"/>
      <c r="AE29" s="35"/>
      <c r="AF29" s="35"/>
    </row>
    <row r="30" spans="1:32" ht="12.75" customHeight="1">
      <c r="V30" s="35"/>
      <c r="W30" s="35"/>
      <c r="X30" s="35"/>
      <c r="Y30" s="35"/>
      <c r="Z30" s="35"/>
      <c r="AA30" s="35"/>
      <c r="AB30" s="35"/>
      <c r="AC30" s="35"/>
      <c r="AD30" s="35"/>
      <c r="AE30" s="35"/>
      <c r="AF30" s="35"/>
    </row>
    <row r="31" spans="1:32" ht="18" customHeight="1">
      <c r="A31" s="1131" t="s">
        <v>1301</v>
      </c>
      <c r="V31" s="35"/>
      <c r="W31" s="35"/>
      <c r="X31" s="35"/>
      <c r="Y31" s="35"/>
      <c r="Z31" s="35"/>
      <c r="AA31" s="35"/>
      <c r="AB31" s="35"/>
      <c r="AC31" s="35"/>
      <c r="AD31" s="35"/>
      <c r="AE31" s="35"/>
      <c r="AF31" s="35"/>
    </row>
    <row r="32" spans="1:32" ht="18" customHeight="1">
      <c r="A32" s="1132">
        <f ca="1">TODAY()</f>
        <v>44740</v>
      </c>
      <c r="V32" s="35"/>
      <c r="W32" s="35"/>
      <c r="X32" s="35"/>
      <c r="Y32" s="35"/>
      <c r="Z32" s="35"/>
      <c r="AA32" s="35"/>
      <c r="AB32" s="35"/>
      <c r="AC32" s="35"/>
      <c r="AD32" s="35"/>
      <c r="AE32" s="35"/>
      <c r="AF32" s="35"/>
    </row>
    <row r="33" spans="1:32" ht="18" customHeight="1">
      <c r="A33" s="1131" t="s">
        <v>1232</v>
      </c>
      <c r="V33" s="35"/>
      <c r="W33" s="35"/>
      <c r="X33" s="35"/>
      <c r="Y33" s="35"/>
      <c r="Z33" s="35"/>
      <c r="AA33" s="35"/>
      <c r="AB33" s="35"/>
      <c r="AC33" s="35"/>
      <c r="AD33" s="35"/>
      <c r="AE33" s="35"/>
      <c r="AF33" s="35"/>
    </row>
    <row r="34" spans="1:32" ht="12.75" customHeight="1">
      <c r="A34" s="1133" t="s">
        <v>975</v>
      </c>
      <c r="V34" s="35"/>
      <c r="W34" s="35"/>
      <c r="X34" s="35"/>
      <c r="Y34" s="35"/>
      <c r="Z34" s="35"/>
      <c r="AA34" s="35"/>
      <c r="AB34" s="35"/>
      <c r="AC34" s="35"/>
      <c r="AD34" s="35"/>
      <c r="AE34" s="35"/>
      <c r="AF34" s="35"/>
    </row>
    <row r="35" spans="1:32" ht="13.5" customHeight="1">
      <c r="V35" s="35"/>
      <c r="W35" s="35"/>
      <c r="X35" s="35"/>
      <c r="Y35" s="35"/>
      <c r="Z35" s="35"/>
      <c r="AA35" s="35"/>
      <c r="AB35" s="35"/>
      <c r="AC35" s="35"/>
      <c r="AD35" s="35"/>
      <c r="AE35" s="35"/>
      <c r="AF35" s="35"/>
    </row>
    <row r="36" spans="1:32" ht="13.5" customHeight="1">
      <c r="V36" s="35"/>
      <c r="W36" s="35"/>
      <c r="X36" s="35"/>
      <c r="Y36" s="35"/>
      <c r="Z36" s="35"/>
      <c r="AA36" s="35"/>
      <c r="AB36" s="35"/>
      <c r="AC36" s="35"/>
      <c r="AD36" s="35"/>
      <c r="AE36" s="35"/>
      <c r="AF36" s="35"/>
    </row>
    <row r="37" spans="1:32" ht="13.5" customHeight="1">
      <c r="V37" s="35"/>
      <c r="W37" s="35"/>
      <c r="X37" s="35"/>
      <c r="Y37" s="35"/>
      <c r="Z37" s="35"/>
      <c r="AA37" s="35"/>
      <c r="AB37" s="35"/>
      <c r="AC37" s="35"/>
      <c r="AD37" s="35"/>
      <c r="AE37" s="35"/>
      <c r="AF37" s="35"/>
    </row>
    <row r="38" spans="1:32" ht="13.5" customHeight="1">
      <c r="V38" s="35"/>
      <c r="W38" s="35"/>
      <c r="X38" s="35"/>
      <c r="Y38" s="35"/>
      <c r="Z38" s="35"/>
      <c r="AA38" s="35"/>
      <c r="AB38" s="35"/>
      <c r="AC38" s="35"/>
      <c r="AD38" s="35"/>
      <c r="AE38" s="35"/>
      <c r="AF38" s="35"/>
    </row>
    <row r="39" spans="1:32" ht="12.75" customHeight="1">
      <c r="V39" s="35"/>
      <c r="W39" s="35"/>
      <c r="X39" s="35"/>
      <c r="Y39" s="35"/>
      <c r="Z39" s="35"/>
      <c r="AA39" s="35"/>
      <c r="AB39" s="35"/>
      <c r="AC39" s="35"/>
      <c r="AD39" s="35"/>
      <c r="AE39" s="35"/>
      <c r="AF39" s="35"/>
    </row>
    <row r="40" spans="1:32" ht="12.75" customHeight="1">
      <c r="V40" s="35"/>
      <c r="W40" s="35"/>
      <c r="X40" s="35"/>
      <c r="Y40" s="35"/>
      <c r="Z40" s="35"/>
      <c r="AA40" s="35"/>
      <c r="AB40" s="35"/>
      <c r="AC40" s="35"/>
      <c r="AD40" s="35"/>
      <c r="AE40" s="35"/>
      <c r="AF40" s="35"/>
    </row>
    <row r="41" spans="1:32" ht="12.75" customHeight="1">
      <c r="V41" s="35"/>
      <c r="W41" s="35"/>
      <c r="X41" s="35"/>
      <c r="Y41" s="35"/>
      <c r="Z41" s="35"/>
      <c r="AA41" s="35"/>
      <c r="AB41" s="35"/>
      <c r="AC41" s="35"/>
      <c r="AD41" s="35"/>
      <c r="AE41" s="35"/>
      <c r="AF41" s="35"/>
    </row>
    <row r="42" spans="1:32" ht="13.5" customHeight="1">
      <c r="V42" s="35"/>
      <c r="W42" s="35"/>
      <c r="X42" s="35"/>
      <c r="Y42" s="35"/>
      <c r="Z42" s="35"/>
      <c r="AA42" s="35"/>
      <c r="AB42" s="35"/>
      <c r="AC42" s="35"/>
      <c r="AD42" s="35"/>
      <c r="AE42" s="35"/>
      <c r="AF42" s="35"/>
    </row>
    <row r="43" spans="1:32" ht="12.75" customHeight="1">
      <c r="V43" s="35"/>
      <c r="W43" s="35"/>
      <c r="X43" s="35"/>
      <c r="Y43" s="35"/>
      <c r="Z43" s="35"/>
      <c r="AA43" s="35"/>
      <c r="AB43" s="35"/>
      <c r="AC43" s="35"/>
      <c r="AD43" s="35"/>
      <c r="AE43" s="35"/>
      <c r="AF43" s="35"/>
    </row>
    <row r="44" spans="1:32" ht="12.75" customHeight="1">
      <c r="V44" s="35"/>
      <c r="W44" s="35"/>
      <c r="X44" s="35"/>
      <c r="Y44" s="35"/>
      <c r="Z44" s="35"/>
      <c r="AA44" s="35"/>
      <c r="AB44" s="35"/>
      <c r="AC44" s="35"/>
      <c r="AD44" s="35"/>
      <c r="AE44" s="35"/>
      <c r="AF44" s="35"/>
    </row>
    <row r="45" spans="1:32" ht="12.75" customHeight="1">
      <c r="V45" s="35"/>
      <c r="W45" s="35"/>
      <c r="X45" s="35"/>
      <c r="Y45" s="35"/>
      <c r="Z45" s="35"/>
      <c r="AA45" s="35"/>
      <c r="AB45" s="35"/>
      <c r="AC45" s="35"/>
      <c r="AD45" s="35"/>
      <c r="AE45" s="35"/>
      <c r="AF45" s="35"/>
    </row>
    <row r="46" spans="1:32" ht="12.75" customHeight="1">
      <c r="V46" s="35"/>
      <c r="W46" s="35"/>
      <c r="X46" s="35"/>
      <c r="Y46" s="35"/>
      <c r="Z46" s="35"/>
      <c r="AA46" s="35"/>
      <c r="AB46" s="35"/>
      <c r="AC46" s="35"/>
      <c r="AD46" s="35"/>
      <c r="AE46" s="35"/>
      <c r="AF46" s="35"/>
    </row>
    <row r="47" spans="1:32" ht="12.75" customHeight="1">
      <c r="V47" s="35"/>
      <c r="W47" s="35"/>
      <c r="X47" s="35"/>
      <c r="Y47" s="35"/>
      <c r="Z47" s="35"/>
      <c r="AA47" s="35"/>
      <c r="AB47" s="35"/>
      <c r="AC47" s="35"/>
      <c r="AD47" s="35"/>
      <c r="AE47" s="35"/>
      <c r="AF47" s="35"/>
    </row>
    <row r="48" spans="1:32" ht="12.75" customHeight="1">
      <c r="V48" s="35"/>
      <c r="W48" s="35"/>
      <c r="X48" s="35"/>
      <c r="Y48" s="35"/>
      <c r="Z48" s="35"/>
      <c r="AA48" s="35"/>
      <c r="AB48" s="35"/>
      <c r="AC48" s="35"/>
      <c r="AD48" s="35"/>
      <c r="AE48" s="35"/>
      <c r="AF48" s="35"/>
    </row>
    <row r="49" spans="22:32" ht="12.75" customHeight="1">
      <c r="V49" s="35"/>
      <c r="W49" s="35"/>
      <c r="X49" s="35"/>
      <c r="Y49" s="35"/>
      <c r="Z49" s="35"/>
      <c r="AA49" s="35"/>
      <c r="AB49" s="35"/>
      <c r="AC49" s="35"/>
      <c r="AD49" s="35"/>
      <c r="AE49" s="35"/>
      <c r="AF49" s="35"/>
    </row>
    <row r="50" spans="22:32" ht="12.75" customHeight="1">
      <c r="V50" s="35"/>
      <c r="W50" s="35"/>
      <c r="X50" s="35"/>
      <c r="Y50" s="35"/>
      <c r="Z50" s="35"/>
      <c r="AA50" s="35"/>
      <c r="AB50" s="35"/>
      <c r="AC50" s="35"/>
      <c r="AD50" s="35"/>
      <c r="AE50" s="35"/>
      <c r="AF50" s="35"/>
    </row>
    <row r="51" spans="22:32" ht="15.75" customHeight="1">
      <c r="V51" s="35"/>
      <c r="W51" s="35"/>
      <c r="X51" s="35"/>
      <c r="Y51" s="35"/>
      <c r="Z51" s="35"/>
      <c r="AA51" s="35"/>
      <c r="AB51" s="35"/>
      <c r="AC51" s="35"/>
      <c r="AD51" s="35"/>
      <c r="AE51" s="35"/>
      <c r="AF51" s="35"/>
    </row>
    <row r="52" spans="22:32" ht="16.5" customHeight="1">
      <c r="V52" s="35"/>
      <c r="W52" s="35"/>
      <c r="X52" s="35"/>
      <c r="Y52" s="35"/>
      <c r="Z52" s="35"/>
      <c r="AA52" s="35"/>
      <c r="AB52" s="35"/>
      <c r="AC52" s="35"/>
      <c r="AD52" s="35"/>
      <c r="AE52" s="35"/>
      <c r="AF52" s="35"/>
    </row>
    <row r="53" spans="22:32" ht="12.75" customHeight="1">
      <c r="V53" s="35"/>
      <c r="W53" s="35"/>
      <c r="X53" s="35"/>
      <c r="Y53" s="35"/>
      <c r="Z53" s="35"/>
      <c r="AA53" s="35"/>
      <c r="AB53" s="35"/>
      <c r="AC53" s="35"/>
      <c r="AD53" s="35"/>
      <c r="AE53" s="35"/>
      <c r="AF53" s="35"/>
    </row>
    <row r="54" spans="22:32" ht="12.75" customHeight="1">
      <c r="V54" s="35"/>
      <c r="W54" s="35"/>
      <c r="X54" s="35"/>
      <c r="Y54" s="35"/>
      <c r="Z54" s="35"/>
      <c r="AA54" s="35"/>
      <c r="AB54" s="35"/>
      <c r="AC54" s="35"/>
      <c r="AD54" s="35"/>
      <c r="AE54" s="35"/>
      <c r="AF54" s="35"/>
    </row>
    <row r="55" spans="22:32" ht="12.75" customHeight="1">
      <c r="V55" s="35"/>
      <c r="W55" s="35"/>
      <c r="X55" s="35"/>
      <c r="Y55" s="35"/>
      <c r="Z55" s="35"/>
      <c r="AA55" s="35"/>
      <c r="AB55" s="35"/>
      <c r="AC55" s="35"/>
      <c r="AD55" s="35"/>
      <c r="AE55" s="35"/>
      <c r="AF55" s="35"/>
    </row>
    <row r="56" spans="22:32" ht="12.75" customHeight="1">
      <c r="V56" s="35"/>
      <c r="W56" s="35"/>
      <c r="X56" s="35"/>
      <c r="Y56" s="35"/>
      <c r="Z56" s="35"/>
      <c r="AA56" s="35"/>
      <c r="AB56" s="35"/>
      <c r="AC56" s="35"/>
      <c r="AD56" s="35"/>
      <c r="AE56" s="35"/>
      <c r="AF56" s="35"/>
    </row>
    <row r="57" spans="22:32" ht="12.75" customHeight="1">
      <c r="V57" s="35"/>
      <c r="W57" s="35"/>
      <c r="X57" s="35"/>
      <c r="Y57" s="35"/>
      <c r="Z57" s="35"/>
      <c r="AA57" s="35"/>
      <c r="AB57" s="35"/>
      <c r="AC57" s="35"/>
      <c r="AD57" s="35"/>
      <c r="AE57" s="35"/>
      <c r="AF57" s="35"/>
    </row>
    <row r="58" spans="22:32" ht="12.75" customHeight="1">
      <c r="V58" s="35"/>
      <c r="W58" s="35"/>
      <c r="X58" s="35"/>
      <c r="Y58" s="35"/>
      <c r="Z58" s="35"/>
      <c r="AA58" s="35"/>
      <c r="AB58" s="35"/>
      <c r="AC58" s="35"/>
      <c r="AD58" s="35"/>
      <c r="AE58" s="35"/>
      <c r="AF58" s="35"/>
    </row>
    <row r="59" spans="22:32" ht="12.75" customHeight="1">
      <c r="V59" s="35"/>
      <c r="W59" s="35"/>
      <c r="X59" s="35"/>
      <c r="Y59" s="35"/>
      <c r="Z59" s="35"/>
      <c r="AA59" s="35"/>
      <c r="AB59" s="35"/>
      <c r="AC59" s="35"/>
      <c r="AD59" s="35"/>
      <c r="AE59" s="35"/>
      <c r="AF59" s="35"/>
    </row>
    <row r="60" spans="22:32" ht="12.75" customHeight="1">
      <c r="V60" s="35"/>
      <c r="W60" s="35"/>
      <c r="X60" s="35"/>
      <c r="Y60" s="35"/>
      <c r="Z60" s="35"/>
      <c r="AA60" s="35"/>
      <c r="AB60" s="35"/>
      <c r="AC60" s="35"/>
      <c r="AD60" s="35"/>
      <c r="AE60" s="35"/>
      <c r="AF60" s="35"/>
    </row>
    <row r="61" spans="22:32" ht="12.75" customHeight="1">
      <c r="V61" s="35"/>
      <c r="W61" s="35"/>
      <c r="X61" s="35"/>
      <c r="Y61" s="35"/>
      <c r="Z61" s="35"/>
      <c r="AA61" s="35"/>
      <c r="AB61" s="35"/>
      <c r="AC61" s="35"/>
      <c r="AD61" s="35"/>
      <c r="AE61" s="35"/>
      <c r="AF61" s="35"/>
    </row>
    <row r="62" spans="22:32" ht="13.5" customHeight="1">
      <c r="V62" s="35"/>
      <c r="W62" s="35"/>
      <c r="X62" s="35"/>
      <c r="Y62" s="35"/>
      <c r="Z62" s="35"/>
      <c r="AA62" s="35"/>
      <c r="AB62" s="35"/>
      <c r="AC62" s="35"/>
      <c r="AD62" s="35"/>
      <c r="AE62" s="35"/>
      <c r="AF62" s="35"/>
    </row>
    <row r="63" spans="22:32" ht="13.5" customHeight="1">
      <c r="V63" s="35"/>
      <c r="W63" s="35"/>
      <c r="X63" s="35"/>
      <c r="Y63" s="35"/>
      <c r="Z63" s="35"/>
      <c r="AA63" s="35"/>
      <c r="AB63" s="35"/>
      <c r="AC63" s="35"/>
      <c r="AD63" s="35"/>
      <c r="AE63" s="35"/>
      <c r="AF63" s="35"/>
    </row>
    <row r="64" spans="22:32" ht="12.75" customHeight="1">
      <c r="V64" s="35"/>
      <c r="W64" s="35"/>
      <c r="X64" s="35"/>
      <c r="Y64" s="35"/>
      <c r="Z64" s="35"/>
      <c r="AA64" s="35"/>
      <c r="AB64" s="35"/>
      <c r="AC64" s="35"/>
      <c r="AD64" s="35"/>
      <c r="AE64" s="35"/>
      <c r="AF64" s="35"/>
    </row>
    <row r="65" spans="22:32" ht="12.75" customHeight="1">
      <c r="V65" s="35"/>
      <c r="W65" s="35"/>
      <c r="X65" s="35"/>
      <c r="Y65" s="35"/>
      <c r="Z65" s="35"/>
      <c r="AA65" s="35"/>
      <c r="AB65" s="35"/>
      <c r="AC65" s="35"/>
      <c r="AD65" s="35"/>
      <c r="AE65" s="35"/>
      <c r="AF65" s="35"/>
    </row>
    <row r="66" spans="22:32" ht="12.75" customHeight="1">
      <c r="V66" s="35"/>
      <c r="W66" s="35"/>
      <c r="X66" s="35"/>
      <c r="Y66" s="35"/>
      <c r="Z66" s="35"/>
      <c r="AA66" s="35"/>
      <c r="AB66" s="35"/>
      <c r="AC66" s="35"/>
      <c r="AD66" s="35"/>
      <c r="AE66" s="35"/>
      <c r="AF66" s="35"/>
    </row>
    <row r="67" spans="22:32" ht="13.5" customHeight="1">
      <c r="V67" s="35"/>
      <c r="W67" s="35"/>
      <c r="X67" s="35"/>
      <c r="Y67" s="35"/>
      <c r="Z67" s="35"/>
      <c r="AA67" s="35"/>
      <c r="AB67" s="35"/>
      <c r="AC67" s="35"/>
      <c r="AD67" s="35"/>
      <c r="AE67" s="35"/>
      <c r="AF67" s="35"/>
    </row>
    <row r="68" spans="22:32" ht="12.75" customHeight="1">
      <c r="V68" s="35"/>
      <c r="W68" s="35"/>
      <c r="X68" s="35"/>
      <c r="Y68" s="35"/>
      <c r="Z68" s="35"/>
      <c r="AA68" s="35"/>
      <c r="AB68" s="35"/>
      <c r="AC68" s="35"/>
      <c r="AD68" s="35"/>
      <c r="AE68" s="35"/>
      <c r="AF68" s="35"/>
    </row>
    <row r="69" spans="22:32" ht="12.75" customHeight="1">
      <c r="V69" s="35"/>
      <c r="W69" s="35"/>
      <c r="X69" s="35"/>
      <c r="Y69" s="35"/>
      <c r="Z69" s="35"/>
      <c r="AA69" s="35"/>
      <c r="AB69" s="35"/>
      <c r="AC69" s="35"/>
      <c r="AD69" s="35"/>
      <c r="AE69" s="35"/>
      <c r="AF69" s="35"/>
    </row>
    <row r="70" spans="22:32" ht="12.75" customHeight="1">
      <c r="V70" s="35"/>
      <c r="W70" s="35"/>
      <c r="X70" s="35"/>
      <c r="Y70" s="35"/>
      <c r="Z70" s="35"/>
      <c r="AA70" s="35"/>
      <c r="AB70" s="35"/>
      <c r="AC70" s="35"/>
      <c r="AD70" s="35"/>
      <c r="AE70" s="35"/>
      <c r="AF70" s="35"/>
    </row>
    <row r="71" spans="22:32" ht="12.75" customHeight="1">
      <c r="V71" s="35"/>
      <c r="W71" s="35"/>
      <c r="X71" s="35"/>
      <c r="Y71" s="35"/>
      <c r="Z71" s="35"/>
      <c r="AA71" s="35"/>
      <c r="AB71" s="35"/>
      <c r="AC71" s="35"/>
      <c r="AD71" s="35"/>
      <c r="AE71" s="35"/>
      <c r="AF71" s="35"/>
    </row>
    <row r="72" spans="22:32" ht="12.75" customHeight="1">
      <c r="V72" s="35"/>
      <c r="W72" s="35"/>
      <c r="X72" s="35"/>
      <c r="Y72" s="35"/>
      <c r="Z72" s="35"/>
      <c r="AA72" s="35"/>
      <c r="AB72" s="35"/>
      <c r="AC72" s="35"/>
      <c r="AD72" s="35"/>
      <c r="AE72" s="35"/>
      <c r="AF72" s="35"/>
    </row>
    <row r="73" spans="22:32" ht="12.75" customHeight="1">
      <c r="V73" s="35"/>
      <c r="W73" s="35"/>
      <c r="X73" s="35"/>
      <c r="Y73" s="35"/>
      <c r="Z73" s="35"/>
      <c r="AA73" s="35"/>
      <c r="AB73" s="35"/>
      <c r="AC73" s="35"/>
      <c r="AD73" s="35"/>
      <c r="AE73" s="35"/>
      <c r="AF73" s="35"/>
    </row>
    <row r="74" spans="22:32" ht="12.75" customHeight="1">
      <c r="V74" s="35"/>
      <c r="W74" s="35"/>
      <c r="X74" s="35"/>
      <c r="Y74" s="35"/>
      <c r="Z74" s="35"/>
      <c r="AA74" s="35"/>
      <c r="AB74" s="35"/>
      <c r="AC74" s="35"/>
      <c r="AD74" s="35"/>
      <c r="AE74" s="35"/>
      <c r="AF74" s="35"/>
    </row>
    <row r="75" spans="22:32" ht="12.75" customHeight="1">
      <c r="V75" s="35"/>
      <c r="W75" s="35"/>
      <c r="X75" s="35"/>
      <c r="Y75" s="35"/>
      <c r="Z75" s="35"/>
      <c r="AA75" s="35"/>
      <c r="AB75" s="35"/>
      <c r="AC75" s="35"/>
      <c r="AD75" s="35"/>
      <c r="AE75" s="35"/>
      <c r="AF75" s="35"/>
    </row>
    <row r="76" spans="22:32" ht="15">
      <c r="V76" s="35"/>
      <c r="W76" s="35"/>
      <c r="X76" s="35"/>
      <c r="Y76" s="35"/>
      <c r="Z76" s="35"/>
      <c r="AA76" s="35"/>
      <c r="AB76" s="35"/>
      <c r="AC76" s="35"/>
      <c r="AD76" s="35"/>
      <c r="AE76" s="35"/>
      <c r="AF76" s="35"/>
    </row>
    <row r="77" spans="22:32" ht="15">
      <c r="V77" s="35"/>
      <c r="W77" s="35"/>
      <c r="X77" s="35"/>
      <c r="Y77" s="35"/>
      <c r="Z77" s="35"/>
      <c r="AA77" s="35"/>
      <c r="AB77" s="35"/>
      <c r="AC77" s="35"/>
      <c r="AD77" s="35"/>
      <c r="AE77" s="35"/>
      <c r="AF77" s="35"/>
    </row>
    <row r="78" spans="22:32" ht="15">
      <c r="V78" s="35"/>
      <c r="W78" s="35"/>
      <c r="X78" s="35"/>
      <c r="Y78" s="35"/>
      <c r="Z78" s="35"/>
      <c r="AA78" s="35"/>
      <c r="AB78" s="35"/>
      <c r="AC78" s="35"/>
      <c r="AD78" s="35"/>
      <c r="AE78" s="35"/>
      <c r="AF78" s="35"/>
    </row>
    <row r="79" spans="22:32" ht="15">
      <c r="V79" s="35"/>
      <c r="W79" s="35"/>
      <c r="X79" s="35"/>
      <c r="Y79" s="35"/>
      <c r="Z79" s="35"/>
      <c r="AA79" s="35"/>
      <c r="AB79" s="35"/>
      <c r="AC79" s="35"/>
      <c r="AD79" s="35"/>
      <c r="AE79" s="35"/>
      <c r="AF79" s="35"/>
    </row>
    <row r="80" spans="22:32" ht="15">
      <c r="V80" s="35"/>
      <c r="W80" s="35"/>
      <c r="X80" s="35"/>
      <c r="Y80" s="35"/>
      <c r="Z80" s="35"/>
      <c r="AA80" s="35"/>
      <c r="AB80" s="35"/>
      <c r="AC80" s="35"/>
      <c r="AD80" s="35"/>
      <c r="AE80" s="35"/>
      <c r="AF80" s="35"/>
    </row>
    <row r="81" spans="22:32" ht="15">
      <c r="V81" s="35"/>
      <c r="W81" s="35"/>
      <c r="X81" s="35"/>
      <c r="Y81" s="35"/>
      <c r="Z81" s="35"/>
      <c r="AA81" s="35"/>
      <c r="AB81" s="35"/>
      <c r="AC81" s="35"/>
      <c r="AD81" s="35"/>
      <c r="AE81" s="35"/>
      <c r="AF81" s="35"/>
    </row>
    <row r="82" spans="22:32" ht="15">
      <c r="V82" s="35"/>
      <c r="W82" s="35"/>
      <c r="X82" s="35"/>
      <c r="Y82" s="35"/>
      <c r="Z82" s="35"/>
      <c r="AA82" s="35"/>
      <c r="AB82" s="35"/>
      <c r="AC82" s="35"/>
      <c r="AD82" s="35"/>
      <c r="AE82" s="35"/>
      <c r="AF82" s="35"/>
    </row>
    <row r="83" spans="22:32" ht="15">
      <c r="V83" s="35"/>
      <c r="W83" s="35"/>
      <c r="X83" s="35"/>
      <c r="Y83" s="35"/>
      <c r="Z83" s="35"/>
      <c r="AA83" s="35"/>
      <c r="AB83" s="35"/>
      <c r="AC83" s="35"/>
      <c r="AD83" s="35"/>
      <c r="AE83" s="35"/>
      <c r="AF83" s="35"/>
    </row>
    <row r="84" spans="22:32" ht="15">
      <c r="V84" s="35"/>
      <c r="W84" s="35"/>
      <c r="X84" s="35"/>
      <c r="Y84" s="35"/>
      <c r="Z84" s="35"/>
      <c r="AA84" s="35"/>
      <c r="AB84" s="35"/>
      <c r="AC84" s="35"/>
      <c r="AD84" s="35"/>
      <c r="AE84" s="35"/>
      <c r="AF84" s="35"/>
    </row>
    <row r="85" spans="22:32" ht="15">
      <c r="V85" s="35"/>
      <c r="W85" s="35"/>
      <c r="X85" s="35"/>
      <c r="Y85" s="35"/>
      <c r="Z85" s="35"/>
      <c r="AA85" s="35"/>
      <c r="AB85" s="35"/>
      <c r="AC85" s="35"/>
      <c r="AD85" s="35"/>
      <c r="AE85" s="35"/>
      <c r="AF85" s="35"/>
    </row>
    <row r="86" spans="22:32" ht="15">
      <c r="V86" s="35"/>
      <c r="W86" s="35"/>
      <c r="X86" s="35"/>
      <c r="Y86" s="35"/>
      <c r="Z86" s="35"/>
      <c r="AA86" s="35"/>
      <c r="AB86" s="35"/>
      <c r="AC86" s="35"/>
      <c r="AD86" s="35"/>
      <c r="AE86" s="35"/>
      <c r="AF86" s="35"/>
    </row>
    <row r="87" spans="22:32" ht="15">
      <c r="V87" s="35"/>
      <c r="W87" s="35"/>
      <c r="X87" s="35"/>
      <c r="Y87" s="35"/>
      <c r="Z87" s="35"/>
      <c r="AA87" s="35"/>
      <c r="AB87" s="35"/>
      <c r="AC87" s="35"/>
      <c r="AD87" s="35"/>
      <c r="AE87" s="35"/>
      <c r="AF87" s="35"/>
    </row>
    <row r="88" spans="22:32" ht="15">
      <c r="V88" s="35"/>
      <c r="W88" s="35"/>
      <c r="X88" s="35"/>
      <c r="Y88" s="35"/>
      <c r="Z88" s="35"/>
      <c r="AA88" s="35"/>
      <c r="AB88" s="35"/>
      <c r="AC88" s="35"/>
      <c r="AD88" s="35"/>
      <c r="AE88" s="35"/>
      <c r="AF88" s="35"/>
    </row>
    <row r="89" spans="22:32" ht="15">
      <c r="V89" s="35"/>
      <c r="W89" s="35"/>
      <c r="X89" s="35"/>
      <c r="Y89" s="35"/>
      <c r="Z89" s="35"/>
      <c r="AA89" s="35"/>
      <c r="AB89" s="35"/>
      <c r="AC89" s="35"/>
      <c r="AD89" s="35"/>
      <c r="AE89" s="35"/>
      <c r="AF89" s="35"/>
    </row>
    <row r="90" spans="22:32" ht="15">
      <c r="V90" s="35"/>
      <c r="W90" s="35"/>
      <c r="X90" s="35"/>
      <c r="Y90" s="35"/>
      <c r="Z90" s="35"/>
      <c r="AA90" s="35"/>
      <c r="AB90" s="35"/>
      <c r="AC90" s="35"/>
      <c r="AD90" s="35"/>
      <c r="AE90" s="35"/>
      <c r="AF90" s="35"/>
    </row>
    <row r="91" spans="22:32" ht="15">
      <c r="V91" s="35"/>
      <c r="W91" s="35"/>
      <c r="X91" s="35"/>
      <c r="Y91" s="35"/>
      <c r="Z91" s="35"/>
      <c r="AA91" s="35"/>
      <c r="AB91" s="35"/>
      <c r="AC91" s="35"/>
      <c r="AD91" s="35"/>
      <c r="AE91" s="35"/>
      <c r="AF91" s="35"/>
    </row>
    <row r="92" spans="22:32" ht="15">
      <c r="V92" s="35"/>
      <c r="W92" s="35"/>
      <c r="X92" s="35"/>
      <c r="Y92" s="35"/>
      <c r="Z92" s="35"/>
      <c r="AA92" s="35"/>
      <c r="AB92" s="35"/>
      <c r="AC92" s="35"/>
      <c r="AD92" s="35"/>
      <c r="AE92" s="35"/>
      <c r="AF92" s="35"/>
    </row>
    <row r="93" spans="22:32" ht="15">
      <c r="V93" s="35"/>
      <c r="W93" s="35"/>
      <c r="X93" s="35"/>
      <c r="Y93" s="35"/>
      <c r="Z93" s="35"/>
      <c r="AA93" s="35"/>
      <c r="AB93" s="35"/>
      <c r="AC93" s="35"/>
      <c r="AD93" s="35"/>
      <c r="AE93" s="35"/>
      <c r="AF93" s="35"/>
    </row>
    <row r="94" spans="22:32" ht="15">
      <c r="V94" s="35"/>
      <c r="W94" s="35"/>
      <c r="X94" s="35"/>
      <c r="Y94" s="35"/>
      <c r="Z94" s="35"/>
      <c r="AA94" s="35"/>
      <c r="AB94" s="35"/>
      <c r="AC94" s="35"/>
      <c r="AD94" s="35"/>
      <c r="AE94" s="35"/>
      <c r="AF94" s="35"/>
    </row>
    <row r="95" spans="22:32" ht="15">
      <c r="V95" s="35"/>
      <c r="W95" s="35"/>
      <c r="X95" s="35"/>
      <c r="Y95" s="35"/>
      <c r="Z95" s="35"/>
      <c r="AA95" s="35"/>
      <c r="AB95" s="35"/>
      <c r="AC95" s="35"/>
      <c r="AD95" s="35"/>
      <c r="AE95" s="35"/>
      <c r="AF95" s="35"/>
    </row>
    <row r="96" spans="22:32" ht="15">
      <c r="V96" s="35"/>
      <c r="W96" s="35"/>
      <c r="X96" s="35"/>
      <c r="Y96" s="35"/>
      <c r="Z96" s="35"/>
      <c r="AA96" s="35"/>
      <c r="AB96" s="35"/>
      <c r="AC96" s="35"/>
      <c r="AD96" s="35"/>
      <c r="AE96" s="35"/>
      <c r="AF96" s="35"/>
    </row>
    <row r="97" spans="22:32" ht="15">
      <c r="V97" s="35"/>
      <c r="W97" s="35"/>
      <c r="X97" s="35"/>
      <c r="Y97" s="35"/>
      <c r="Z97" s="35"/>
      <c r="AA97" s="35"/>
      <c r="AB97" s="35"/>
      <c r="AC97" s="35"/>
      <c r="AD97" s="35"/>
      <c r="AE97" s="35"/>
      <c r="AF97" s="35"/>
    </row>
    <row r="98" spans="22:32" ht="15">
      <c r="V98" s="35"/>
      <c r="W98" s="35"/>
      <c r="X98" s="35"/>
      <c r="Y98" s="35"/>
      <c r="Z98" s="35"/>
      <c r="AA98" s="35"/>
      <c r="AB98" s="35"/>
      <c r="AC98" s="35"/>
      <c r="AD98" s="35"/>
      <c r="AE98" s="35"/>
      <c r="AF98" s="35"/>
    </row>
    <row r="99" spans="22:32" ht="15">
      <c r="V99" s="35"/>
      <c r="W99" s="35"/>
      <c r="X99" s="35"/>
      <c r="Y99" s="35"/>
      <c r="Z99" s="35"/>
      <c r="AA99" s="35"/>
      <c r="AB99" s="35"/>
      <c r="AC99" s="35"/>
      <c r="AD99" s="35"/>
      <c r="AE99" s="35"/>
      <c r="AF99" s="35"/>
    </row>
    <row r="100" spans="22:32" ht="15">
      <c r="V100" s="35"/>
      <c r="W100" s="35"/>
      <c r="X100" s="35"/>
      <c r="Y100" s="35"/>
      <c r="Z100" s="35"/>
      <c r="AA100" s="35"/>
      <c r="AB100" s="35"/>
      <c r="AC100" s="35"/>
      <c r="AD100" s="35"/>
      <c r="AE100" s="35"/>
      <c r="AF100" s="35"/>
    </row>
    <row r="101" spans="22:32" ht="15">
      <c r="V101" s="35"/>
      <c r="W101" s="35"/>
      <c r="X101" s="35"/>
      <c r="Y101" s="35"/>
      <c r="Z101" s="35"/>
      <c r="AA101" s="35"/>
      <c r="AB101" s="35"/>
      <c r="AC101" s="35"/>
      <c r="AD101" s="35"/>
      <c r="AE101" s="35"/>
      <c r="AF101" s="35"/>
    </row>
    <row r="102" spans="22:32" ht="15">
      <c r="V102" s="35"/>
      <c r="W102" s="35"/>
      <c r="X102" s="35"/>
      <c r="Y102" s="35"/>
      <c r="Z102" s="35"/>
      <c r="AA102" s="35"/>
      <c r="AB102" s="35"/>
      <c r="AC102" s="35"/>
      <c r="AD102" s="35"/>
      <c r="AE102" s="35"/>
      <c r="AF102" s="35"/>
    </row>
    <row r="103" spans="22:32" ht="15">
      <c r="V103" s="35"/>
      <c r="W103" s="35"/>
      <c r="X103" s="35"/>
      <c r="Y103" s="35"/>
      <c r="Z103" s="35"/>
      <c r="AA103" s="35"/>
      <c r="AB103" s="35"/>
      <c r="AC103" s="35"/>
      <c r="AD103" s="35"/>
      <c r="AE103" s="35"/>
      <c r="AF103" s="35"/>
    </row>
    <row r="104" spans="22:32" ht="15">
      <c r="V104" s="35"/>
      <c r="W104" s="35"/>
      <c r="X104" s="35"/>
      <c r="Y104" s="35"/>
      <c r="Z104" s="35"/>
      <c r="AA104" s="35"/>
      <c r="AB104" s="35"/>
      <c r="AC104" s="35"/>
      <c r="AD104" s="35"/>
      <c r="AE104" s="35"/>
      <c r="AF104" s="35"/>
    </row>
    <row r="105" spans="22:32" ht="15">
      <c r="V105" s="35"/>
      <c r="W105" s="35"/>
      <c r="X105" s="35"/>
      <c r="Y105" s="35"/>
      <c r="Z105" s="35"/>
      <c r="AA105" s="35"/>
      <c r="AB105" s="35"/>
      <c r="AC105" s="35"/>
      <c r="AD105" s="35"/>
      <c r="AE105" s="35"/>
      <c r="AF105" s="35"/>
    </row>
    <row r="106" spans="22:32" ht="15">
      <c r="V106" s="35"/>
      <c r="W106" s="35"/>
      <c r="X106" s="35"/>
      <c r="Y106" s="35"/>
      <c r="Z106" s="35"/>
      <c r="AA106" s="35"/>
      <c r="AB106" s="35"/>
      <c r="AC106" s="35"/>
      <c r="AD106" s="35"/>
      <c r="AE106" s="35"/>
      <c r="AF106" s="35"/>
    </row>
    <row r="107" spans="22:32" ht="15">
      <c r="V107" s="35"/>
      <c r="W107" s="35"/>
      <c r="X107" s="35"/>
      <c r="Y107" s="35"/>
      <c r="Z107" s="35"/>
      <c r="AA107" s="35"/>
      <c r="AB107" s="35"/>
      <c r="AC107" s="35"/>
      <c r="AD107" s="35"/>
      <c r="AE107" s="35"/>
      <c r="AF107" s="35"/>
    </row>
    <row r="108" spans="22:32" ht="15">
      <c r="V108" s="35"/>
      <c r="W108" s="35"/>
      <c r="X108" s="35"/>
      <c r="Y108" s="35"/>
      <c r="Z108" s="35"/>
      <c r="AA108" s="35"/>
      <c r="AB108" s="35"/>
      <c r="AC108" s="35"/>
      <c r="AD108" s="35"/>
      <c r="AE108" s="35"/>
      <c r="AF108" s="35"/>
    </row>
    <row r="109" spans="22:32" ht="15">
      <c r="V109" s="35"/>
      <c r="W109" s="35"/>
      <c r="X109" s="35"/>
      <c r="Y109" s="35"/>
      <c r="Z109" s="35"/>
      <c r="AA109" s="35"/>
      <c r="AB109" s="35"/>
      <c r="AC109" s="35"/>
      <c r="AD109" s="35"/>
      <c r="AE109" s="35"/>
      <c r="AF109" s="35"/>
    </row>
    <row r="110" spans="22:32" ht="15">
      <c r="V110" s="35"/>
      <c r="W110" s="35"/>
      <c r="X110" s="35"/>
      <c r="Y110" s="35"/>
      <c r="Z110" s="35"/>
      <c r="AA110" s="35"/>
      <c r="AB110" s="35"/>
      <c r="AC110" s="35"/>
      <c r="AD110" s="35"/>
      <c r="AE110" s="35"/>
      <c r="AF110" s="35"/>
    </row>
    <row r="111" spans="22:32" ht="15">
      <c r="V111" s="35"/>
      <c r="W111" s="35"/>
      <c r="X111" s="35"/>
      <c r="Y111" s="35"/>
      <c r="Z111" s="35"/>
      <c r="AA111" s="35"/>
      <c r="AB111" s="35"/>
      <c r="AC111" s="35"/>
      <c r="AD111" s="35"/>
      <c r="AE111" s="35"/>
      <c r="AF111" s="35"/>
    </row>
    <row r="112" spans="22:32" ht="15">
      <c r="V112" s="35"/>
      <c r="W112" s="35"/>
      <c r="X112" s="35"/>
      <c r="Y112" s="35"/>
      <c r="Z112" s="35"/>
      <c r="AA112" s="35"/>
      <c r="AB112" s="35"/>
      <c r="AC112" s="35"/>
      <c r="AD112" s="35"/>
      <c r="AE112" s="35"/>
      <c r="AF112" s="35"/>
    </row>
    <row r="113" spans="22:32" ht="15">
      <c r="V113" s="35"/>
      <c r="W113" s="35"/>
      <c r="X113" s="35"/>
      <c r="Y113" s="35"/>
      <c r="Z113" s="35"/>
      <c r="AA113" s="35"/>
      <c r="AB113" s="35"/>
      <c r="AC113" s="35"/>
      <c r="AD113" s="35"/>
      <c r="AE113" s="35"/>
      <c r="AF113" s="35"/>
    </row>
    <row r="114" spans="22:32" ht="15">
      <c r="V114" s="35"/>
      <c r="W114" s="35"/>
      <c r="X114" s="35"/>
      <c r="Y114" s="35"/>
      <c r="Z114" s="35"/>
      <c r="AA114" s="35"/>
      <c r="AB114" s="35"/>
      <c r="AC114" s="35"/>
      <c r="AD114" s="35"/>
      <c r="AE114" s="35"/>
      <c r="AF114" s="35"/>
    </row>
    <row r="115" spans="22:32" ht="15">
      <c r="V115" s="35"/>
      <c r="W115" s="35"/>
      <c r="X115" s="35"/>
      <c r="Y115" s="35"/>
      <c r="Z115" s="35"/>
      <c r="AA115" s="35"/>
      <c r="AB115" s="35"/>
      <c r="AC115" s="35"/>
      <c r="AD115" s="35"/>
      <c r="AE115" s="35"/>
      <c r="AF115" s="35"/>
    </row>
    <row r="116" spans="22:32" ht="15">
      <c r="V116" s="35"/>
      <c r="W116" s="35"/>
      <c r="X116" s="35"/>
      <c r="Y116" s="35"/>
      <c r="Z116" s="35"/>
      <c r="AA116" s="35"/>
      <c r="AB116" s="35"/>
      <c r="AC116" s="35"/>
      <c r="AD116" s="35"/>
      <c r="AE116" s="35"/>
      <c r="AF116" s="35"/>
    </row>
    <row r="117" spans="22:32" ht="15">
      <c r="V117" s="35"/>
      <c r="W117" s="35"/>
      <c r="X117" s="35"/>
      <c r="Y117" s="35"/>
      <c r="Z117" s="35"/>
      <c r="AA117" s="35"/>
      <c r="AB117" s="35"/>
      <c r="AC117" s="35"/>
      <c r="AD117" s="35"/>
      <c r="AE117" s="35"/>
      <c r="AF117" s="35"/>
    </row>
    <row r="118" spans="22:32" ht="15">
      <c r="V118" s="35"/>
      <c r="W118" s="35"/>
      <c r="X118" s="35"/>
      <c r="Y118" s="35"/>
      <c r="Z118" s="35"/>
      <c r="AA118" s="35"/>
      <c r="AB118" s="35"/>
      <c r="AC118" s="35"/>
      <c r="AD118" s="35"/>
      <c r="AE118" s="35"/>
      <c r="AF118" s="35"/>
    </row>
    <row r="119" spans="22:32" ht="15">
      <c r="V119" s="35"/>
      <c r="W119" s="35"/>
      <c r="X119" s="35"/>
      <c r="Y119" s="35"/>
      <c r="Z119" s="35"/>
      <c r="AA119" s="35"/>
      <c r="AB119" s="35"/>
      <c r="AC119" s="35"/>
      <c r="AD119" s="35"/>
      <c r="AE119" s="35"/>
      <c r="AF119" s="35"/>
    </row>
    <row r="120" spans="22:32" ht="15">
      <c r="V120" s="35"/>
      <c r="W120" s="35"/>
      <c r="X120" s="35"/>
      <c r="Y120" s="35"/>
      <c r="Z120" s="35"/>
      <c r="AA120" s="35"/>
      <c r="AB120" s="35"/>
      <c r="AC120" s="35"/>
      <c r="AD120" s="35"/>
      <c r="AE120" s="35"/>
      <c r="AF120" s="35"/>
    </row>
    <row r="121" spans="22:32" ht="15">
      <c r="V121" s="35"/>
      <c r="W121" s="35"/>
      <c r="X121" s="35"/>
      <c r="Y121" s="35"/>
      <c r="Z121" s="35"/>
      <c r="AA121" s="35"/>
      <c r="AB121" s="35"/>
      <c r="AC121" s="35"/>
      <c r="AD121" s="35"/>
      <c r="AE121" s="35"/>
      <c r="AF121" s="35"/>
    </row>
    <row r="122" spans="22:32" ht="15">
      <c r="V122" s="35"/>
      <c r="W122" s="35"/>
      <c r="X122" s="35"/>
      <c r="Y122" s="35"/>
      <c r="Z122" s="35"/>
      <c r="AA122" s="35"/>
      <c r="AB122" s="35"/>
      <c r="AC122" s="35"/>
      <c r="AD122" s="35"/>
      <c r="AE122" s="35"/>
      <c r="AF122" s="35"/>
    </row>
    <row r="123" spans="22:32" ht="15">
      <c r="V123" s="35"/>
      <c r="W123" s="35"/>
      <c r="X123" s="35"/>
      <c r="Y123" s="35"/>
      <c r="Z123" s="35"/>
      <c r="AA123" s="35"/>
      <c r="AB123" s="35"/>
      <c r="AC123" s="35"/>
      <c r="AD123" s="35"/>
      <c r="AE123" s="35"/>
      <c r="AF123" s="35"/>
    </row>
    <row r="124" spans="22:32" ht="15">
      <c r="V124" s="35"/>
      <c r="W124" s="35"/>
      <c r="X124" s="35"/>
      <c r="Y124" s="35"/>
      <c r="Z124" s="35"/>
      <c r="AA124" s="35"/>
      <c r="AB124" s="35"/>
      <c r="AC124" s="35"/>
      <c r="AD124" s="35"/>
      <c r="AE124" s="35"/>
      <c r="AF124" s="35"/>
    </row>
    <row r="125" spans="22:32" ht="15">
      <c r="V125" s="35"/>
      <c r="W125" s="35"/>
      <c r="X125" s="35"/>
      <c r="Y125" s="35"/>
      <c r="Z125" s="35"/>
      <c r="AA125" s="35"/>
      <c r="AB125" s="35"/>
      <c r="AC125" s="35"/>
      <c r="AD125" s="35"/>
      <c r="AE125" s="35"/>
      <c r="AF125" s="35"/>
    </row>
    <row r="126" spans="22:32" ht="15">
      <c r="V126" s="35"/>
      <c r="W126" s="35"/>
      <c r="X126" s="35"/>
      <c r="Y126" s="35"/>
      <c r="Z126" s="35"/>
      <c r="AA126" s="35"/>
      <c r="AB126" s="35"/>
      <c r="AC126" s="35"/>
      <c r="AD126" s="35"/>
      <c r="AE126" s="35"/>
      <c r="AF126" s="35"/>
    </row>
    <row r="127" spans="22:32" ht="15">
      <c r="V127" s="35"/>
      <c r="W127" s="35"/>
      <c r="X127" s="35"/>
      <c r="Y127" s="35"/>
      <c r="Z127" s="35"/>
      <c r="AA127" s="35"/>
      <c r="AB127" s="35"/>
      <c r="AC127" s="35"/>
      <c r="AD127" s="35"/>
      <c r="AE127" s="35"/>
      <c r="AF127" s="35"/>
    </row>
    <row r="128" spans="22:32" ht="15">
      <c r="V128" s="35"/>
      <c r="W128" s="35"/>
      <c r="X128" s="35"/>
      <c r="Y128" s="35"/>
      <c r="Z128" s="35"/>
      <c r="AA128" s="35"/>
      <c r="AB128" s="35"/>
      <c r="AC128" s="35"/>
      <c r="AD128" s="35"/>
      <c r="AE128" s="35"/>
      <c r="AF128" s="35"/>
    </row>
    <row r="129" spans="22:32" ht="15">
      <c r="V129" s="35"/>
      <c r="W129" s="35"/>
      <c r="X129" s="35"/>
      <c r="Y129" s="35"/>
      <c r="Z129" s="35"/>
      <c r="AA129" s="35"/>
      <c r="AB129" s="35"/>
      <c r="AC129" s="35"/>
      <c r="AD129" s="35"/>
      <c r="AE129" s="35"/>
      <c r="AF129" s="35"/>
    </row>
    <row r="130" spans="22:32" ht="15">
      <c r="V130" s="35"/>
      <c r="W130" s="35"/>
      <c r="X130" s="35"/>
      <c r="Y130" s="35"/>
      <c r="Z130" s="35"/>
      <c r="AA130" s="35"/>
      <c r="AB130" s="35"/>
      <c r="AC130" s="35"/>
      <c r="AD130" s="35"/>
      <c r="AE130" s="35"/>
      <c r="AF130" s="35"/>
    </row>
    <row r="131" spans="22:32" ht="15">
      <c r="V131" s="35"/>
      <c r="W131" s="35"/>
      <c r="X131" s="35"/>
      <c r="Y131" s="35"/>
      <c r="Z131" s="35"/>
      <c r="AA131" s="35"/>
      <c r="AB131" s="35"/>
      <c r="AC131" s="35"/>
      <c r="AD131" s="35"/>
      <c r="AE131" s="35"/>
      <c r="AF131" s="35"/>
    </row>
    <row r="132" spans="22:32" ht="15">
      <c r="V132" s="35"/>
      <c r="W132" s="35"/>
      <c r="X132" s="35"/>
      <c r="Y132" s="35"/>
      <c r="Z132" s="35"/>
      <c r="AA132" s="35"/>
      <c r="AB132" s="35"/>
      <c r="AC132" s="35"/>
      <c r="AD132" s="35"/>
      <c r="AE132" s="35"/>
      <c r="AF132" s="35"/>
    </row>
    <row r="133" spans="22:32" ht="15">
      <c r="V133" s="35"/>
      <c r="W133" s="35"/>
      <c r="X133" s="35"/>
      <c r="Y133" s="35"/>
      <c r="Z133" s="35"/>
      <c r="AA133" s="35"/>
      <c r="AB133" s="35"/>
      <c r="AC133" s="35"/>
      <c r="AD133" s="35"/>
      <c r="AE133" s="35"/>
      <c r="AF133" s="35"/>
    </row>
    <row r="134" spans="22:32" ht="15">
      <c r="V134" s="35"/>
      <c r="W134" s="35"/>
      <c r="X134" s="35"/>
      <c r="Y134" s="35"/>
      <c r="Z134" s="35"/>
      <c r="AA134" s="35"/>
      <c r="AB134" s="35"/>
      <c r="AC134" s="35"/>
      <c r="AD134" s="35"/>
      <c r="AE134" s="35"/>
      <c r="AF134" s="35"/>
    </row>
    <row r="135" spans="22:32" ht="15">
      <c r="V135" s="35"/>
      <c r="W135" s="35"/>
      <c r="X135" s="35"/>
      <c r="Y135" s="35"/>
      <c r="Z135" s="35"/>
      <c r="AA135" s="35"/>
      <c r="AB135" s="35"/>
      <c r="AC135" s="35"/>
      <c r="AD135" s="35"/>
      <c r="AE135" s="35"/>
      <c r="AF135" s="35"/>
    </row>
    <row r="136" spans="22:32" ht="15">
      <c r="V136" s="35"/>
      <c r="W136" s="35"/>
      <c r="X136" s="35"/>
      <c r="Y136" s="35"/>
      <c r="Z136" s="35"/>
      <c r="AA136" s="35"/>
      <c r="AB136" s="35"/>
      <c r="AC136" s="35"/>
      <c r="AD136" s="35"/>
      <c r="AE136" s="35"/>
      <c r="AF136" s="35"/>
    </row>
    <row r="137" spans="22:32" ht="15">
      <c r="V137" s="35"/>
      <c r="W137" s="35"/>
      <c r="X137" s="35"/>
      <c r="Y137" s="35"/>
      <c r="Z137" s="35"/>
      <c r="AA137" s="35"/>
      <c r="AB137" s="35"/>
      <c r="AC137" s="35"/>
      <c r="AD137" s="35"/>
      <c r="AE137" s="35"/>
      <c r="AF137" s="35"/>
    </row>
    <row r="138" spans="22:32" ht="15">
      <c r="V138" s="35"/>
      <c r="W138" s="35"/>
      <c r="X138" s="35"/>
      <c r="Y138" s="35"/>
      <c r="Z138" s="35"/>
      <c r="AA138" s="35"/>
      <c r="AB138" s="35"/>
      <c r="AC138" s="35"/>
      <c r="AD138" s="35"/>
      <c r="AE138" s="35"/>
      <c r="AF138" s="35"/>
    </row>
    <row r="139" spans="22:32" ht="15">
      <c r="V139" s="35"/>
      <c r="W139" s="35"/>
      <c r="X139" s="35"/>
      <c r="Y139" s="35"/>
      <c r="Z139" s="35"/>
      <c r="AA139" s="35"/>
      <c r="AB139" s="35"/>
      <c r="AC139" s="35"/>
      <c r="AD139" s="35"/>
      <c r="AE139" s="35"/>
      <c r="AF139" s="35"/>
    </row>
    <row r="140" spans="22:32" ht="15">
      <c r="V140" s="35"/>
      <c r="W140" s="35"/>
      <c r="X140" s="35"/>
      <c r="Y140" s="35"/>
      <c r="Z140" s="35"/>
      <c r="AA140" s="35"/>
      <c r="AB140" s="35"/>
      <c r="AC140" s="35"/>
      <c r="AD140" s="35"/>
      <c r="AE140" s="35"/>
      <c r="AF140" s="35"/>
    </row>
    <row r="141" spans="22:32" ht="15">
      <c r="V141" s="35"/>
      <c r="W141" s="35"/>
      <c r="X141" s="35"/>
      <c r="Y141" s="35"/>
      <c r="Z141" s="35"/>
      <c r="AA141" s="35"/>
      <c r="AB141" s="35"/>
      <c r="AC141" s="35"/>
      <c r="AD141" s="35"/>
      <c r="AE141" s="35"/>
      <c r="AF141" s="35"/>
    </row>
    <row r="142" spans="22:32" ht="15">
      <c r="V142" s="35"/>
      <c r="W142" s="35"/>
      <c r="X142" s="35"/>
      <c r="Y142" s="35"/>
      <c r="Z142" s="35"/>
      <c r="AA142" s="35"/>
      <c r="AB142" s="35"/>
      <c r="AC142" s="35"/>
      <c r="AD142" s="35"/>
      <c r="AE142" s="35"/>
      <c r="AF142" s="35"/>
    </row>
    <row r="143" spans="22:32" ht="15">
      <c r="V143" s="35"/>
      <c r="W143" s="35"/>
      <c r="X143" s="35"/>
      <c r="Y143" s="35"/>
      <c r="Z143" s="35"/>
      <c r="AA143" s="35"/>
      <c r="AB143" s="35"/>
      <c r="AC143" s="35"/>
      <c r="AD143" s="35"/>
      <c r="AE143" s="35"/>
      <c r="AF143" s="35"/>
    </row>
    <row r="144" spans="22:32" ht="15">
      <c r="V144" s="35"/>
      <c r="W144" s="35"/>
      <c r="X144" s="35"/>
      <c r="Y144" s="35"/>
      <c r="Z144" s="35"/>
      <c r="AA144" s="35"/>
      <c r="AB144" s="35"/>
      <c r="AC144" s="35"/>
      <c r="AD144" s="35"/>
      <c r="AE144" s="35"/>
      <c r="AF144" s="35"/>
    </row>
    <row r="145" spans="22:32" ht="15">
      <c r="V145" s="35"/>
      <c r="W145" s="35"/>
      <c r="X145" s="35"/>
      <c r="Y145" s="35"/>
      <c r="Z145" s="35"/>
      <c r="AA145" s="35"/>
      <c r="AB145" s="35"/>
      <c r="AC145" s="35"/>
      <c r="AD145" s="35"/>
      <c r="AE145" s="35"/>
      <c r="AF145" s="35"/>
    </row>
    <row r="146" spans="22:32" ht="15">
      <c r="V146" s="35"/>
      <c r="W146" s="35"/>
      <c r="X146" s="35"/>
      <c r="Y146" s="35"/>
      <c r="Z146" s="35"/>
      <c r="AA146" s="35"/>
      <c r="AB146" s="35"/>
      <c r="AC146" s="35"/>
      <c r="AD146" s="35"/>
      <c r="AE146" s="35"/>
      <c r="AF146" s="35"/>
    </row>
    <row r="147" spans="22:32" ht="15">
      <c r="V147" s="35"/>
      <c r="W147" s="35"/>
      <c r="X147" s="35"/>
      <c r="Y147" s="35"/>
      <c r="Z147" s="35"/>
      <c r="AA147" s="35"/>
      <c r="AB147" s="35"/>
      <c r="AC147" s="35"/>
      <c r="AD147" s="35"/>
      <c r="AE147" s="35"/>
      <c r="AF147" s="35"/>
    </row>
    <row r="148" spans="22:32" ht="15">
      <c r="V148" s="35"/>
      <c r="W148" s="35"/>
      <c r="X148" s="35"/>
      <c r="Y148" s="35"/>
      <c r="Z148" s="35"/>
      <c r="AA148" s="35"/>
      <c r="AB148" s="35"/>
      <c r="AC148" s="35"/>
      <c r="AD148" s="35"/>
      <c r="AE148" s="35"/>
      <c r="AF148" s="35"/>
    </row>
    <row r="149" spans="22:32" ht="15">
      <c r="V149" s="35"/>
      <c r="W149" s="35"/>
      <c r="X149" s="35"/>
      <c r="Y149" s="35"/>
      <c r="Z149" s="35"/>
      <c r="AA149" s="35"/>
      <c r="AB149" s="35"/>
      <c r="AC149" s="35"/>
      <c r="AD149" s="35"/>
      <c r="AE149" s="35"/>
      <c r="AF149" s="35"/>
    </row>
    <row r="150" spans="22:32" ht="15">
      <c r="V150" s="35"/>
      <c r="W150" s="35"/>
      <c r="X150" s="35"/>
      <c r="Y150" s="35"/>
      <c r="Z150" s="35"/>
      <c r="AA150" s="35"/>
      <c r="AB150" s="35"/>
      <c r="AC150" s="35"/>
      <c r="AD150" s="35"/>
      <c r="AE150" s="35"/>
      <c r="AF150" s="35"/>
    </row>
    <row r="151" spans="22:32" ht="15">
      <c r="V151" s="35"/>
      <c r="W151" s="35"/>
      <c r="X151" s="35"/>
      <c r="Y151" s="35"/>
      <c r="Z151" s="35"/>
      <c r="AA151" s="35"/>
      <c r="AB151" s="35"/>
      <c r="AC151" s="35"/>
      <c r="AD151" s="35"/>
      <c r="AE151" s="35"/>
      <c r="AF151" s="35"/>
    </row>
    <row r="152" spans="22:32" ht="15">
      <c r="V152" s="35"/>
      <c r="W152" s="35"/>
      <c r="X152" s="35"/>
      <c r="Y152" s="35"/>
      <c r="Z152" s="35"/>
      <c r="AA152" s="35"/>
      <c r="AB152" s="35"/>
      <c r="AC152" s="35"/>
      <c r="AD152" s="35"/>
      <c r="AE152" s="35"/>
      <c r="AF152" s="35"/>
    </row>
    <row r="153" spans="22:32" ht="15">
      <c r="V153" s="35"/>
      <c r="W153" s="35"/>
      <c r="X153" s="35"/>
      <c r="Y153" s="35"/>
      <c r="Z153" s="35"/>
      <c r="AA153" s="35"/>
      <c r="AB153" s="35"/>
      <c r="AC153" s="35"/>
      <c r="AD153" s="35"/>
      <c r="AE153" s="35"/>
      <c r="AF153" s="35"/>
    </row>
    <row r="154" spans="22:32" ht="15">
      <c r="V154" s="35"/>
      <c r="W154" s="35"/>
      <c r="X154" s="35"/>
      <c r="Y154" s="35"/>
      <c r="Z154" s="35"/>
      <c r="AA154" s="35"/>
      <c r="AB154" s="35"/>
      <c r="AC154" s="35"/>
      <c r="AD154" s="35"/>
      <c r="AE154" s="35"/>
      <c r="AF154" s="35"/>
    </row>
    <row r="155" spans="22:32" ht="15">
      <c r="V155" s="35"/>
      <c r="W155" s="35"/>
      <c r="X155" s="35"/>
      <c r="Y155" s="35"/>
      <c r="Z155" s="35"/>
      <c r="AA155" s="35"/>
      <c r="AB155" s="35"/>
      <c r="AC155" s="35"/>
      <c r="AD155" s="35"/>
      <c r="AE155" s="35"/>
      <c r="AF155" s="35"/>
    </row>
    <row r="156" spans="22:32" ht="15">
      <c r="V156" s="35"/>
      <c r="W156" s="35"/>
      <c r="X156" s="35"/>
      <c r="Y156" s="35"/>
      <c r="Z156" s="35"/>
      <c r="AA156" s="35"/>
      <c r="AB156" s="35"/>
      <c r="AC156" s="35"/>
      <c r="AD156" s="35"/>
      <c r="AE156" s="35"/>
      <c r="AF156" s="35"/>
    </row>
    <row r="157" spans="22:32" ht="15">
      <c r="V157" s="35"/>
      <c r="W157" s="35"/>
      <c r="X157" s="35"/>
      <c r="Y157" s="35"/>
      <c r="Z157" s="35"/>
      <c r="AA157" s="35"/>
      <c r="AB157" s="35"/>
      <c r="AC157" s="35"/>
      <c r="AD157" s="35"/>
      <c r="AE157" s="35"/>
      <c r="AF157" s="35"/>
    </row>
    <row r="158" spans="22:32" ht="15">
      <c r="V158" s="35"/>
      <c r="W158" s="35"/>
      <c r="X158" s="35"/>
      <c r="Y158" s="35"/>
      <c r="Z158" s="35"/>
      <c r="AA158" s="35"/>
      <c r="AB158" s="35"/>
      <c r="AC158" s="35"/>
      <c r="AD158" s="35"/>
      <c r="AE158" s="35"/>
      <c r="AF158" s="35"/>
    </row>
    <row r="159" spans="22:32" ht="15">
      <c r="V159" s="35"/>
      <c r="W159" s="35"/>
      <c r="X159" s="35"/>
      <c r="Y159" s="35"/>
      <c r="Z159" s="35"/>
      <c r="AA159" s="35"/>
      <c r="AB159" s="35"/>
      <c r="AC159" s="35"/>
      <c r="AD159" s="35"/>
      <c r="AE159" s="35"/>
      <c r="AF159" s="35"/>
    </row>
    <row r="160" spans="22:32" ht="15">
      <c r="V160" s="35"/>
      <c r="W160" s="35"/>
      <c r="X160" s="35"/>
      <c r="Y160" s="35"/>
      <c r="Z160" s="35"/>
      <c r="AA160" s="35"/>
      <c r="AB160" s="35"/>
      <c r="AC160" s="35"/>
      <c r="AD160" s="35"/>
      <c r="AE160" s="35"/>
      <c r="AF160" s="35"/>
    </row>
    <row r="161" spans="22:32" ht="15">
      <c r="V161" s="35"/>
      <c r="W161" s="35"/>
      <c r="X161" s="35"/>
      <c r="Y161" s="35"/>
      <c r="Z161" s="35"/>
      <c r="AA161" s="35"/>
      <c r="AB161" s="35"/>
      <c r="AC161" s="35"/>
      <c r="AD161" s="35"/>
      <c r="AE161" s="35"/>
      <c r="AF161" s="35"/>
    </row>
    <row r="162" spans="22:32" ht="15">
      <c r="V162" s="35"/>
      <c r="W162" s="35"/>
      <c r="X162" s="35"/>
      <c r="Y162" s="35"/>
      <c r="Z162" s="35"/>
      <c r="AA162" s="35"/>
      <c r="AB162" s="35"/>
      <c r="AC162" s="35"/>
      <c r="AD162" s="35"/>
      <c r="AE162" s="35"/>
      <c r="AF162" s="35"/>
    </row>
    <row r="163" spans="22:32" ht="15">
      <c r="V163" s="35"/>
      <c r="W163" s="35"/>
      <c r="X163" s="35"/>
      <c r="Y163" s="35"/>
      <c r="Z163" s="35"/>
      <c r="AA163" s="35"/>
      <c r="AB163" s="35"/>
      <c r="AC163" s="35"/>
      <c r="AD163" s="35"/>
      <c r="AE163" s="35"/>
      <c r="AF163" s="35"/>
    </row>
    <row r="164" spans="22:32" ht="15">
      <c r="V164" s="35"/>
      <c r="W164" s="35"/>
      <c r="X164" s="35"/>
      <c r="Y164" s="35"/>
      <c r="Z164" s="35"/>
      <c r="AA164" s="35"/>
      <c r="AB164" s="35"/>
      <c r="AC164" s="35"/>
      <c r="AD164" s="35"/>
      <c r="AE164" s="35"/>
      <c r="AF164" s="35"/>
    </row>
    <row r="165" spans="22:32" ht="15">
      <c r="V165" s="35"/>
      <c r="W165" s="35"/>
      <c r="X165" s="35"/>
      <c r="Y165" s="35"/>
      <c r="Z165" s="35"/>
      <c r="AA165" s="35"/>
      <c r="AB165" s="35"/>
      <c r="AC165" s="35"/>
      <c r="AD165" s="35"/>
      <c r="AE165" s="35"/>
      <c r="AF165" s="35"/>
    </row>
    <row r="166" spans="22:32" ht="15">
      <c r="V166" s="35"/>
      <c r="W166" s="35"/>
      <c r="X166" s="35"/>
      <c r="Y166" s="35"/>
      <c r="Z166" s="35"/>
      <c r="AA166" s="35"/>
      <c r="AB166" s="35"/>
      <c r="AC166" s="35"/>
      <c r="AD166" s="35"/>
      <c r="AE166" s="35"/>
      <c r="AF166" s="35"/>
    </row>
    <row r="167" spans="22:32" ht="15">
      <c r="V167" s="35"/>
      <c r="W167" s="35"/>
      <c r="X167" s="35"/>
      <c r="Y167" s="35"/>
      <c r="Z167" s="35"/>
      <c r="AA167" s="35"/>
      <c r="AB167" s="35"/>
      <c r="AC167" s="35"/>
      <c r="AD167" s="35"/>
      <c r="AE167" s="35"/>
      <c r="AF167" s="35"/>
    </row>
    <row r="168" spans="22:32" ht="15">
      <c r="V168" s="35"/>
      <c r="W168" s="35"/>
      <c r="X168" s="35"/>
      <c r="Y168" s="35"/>
      <c r="Z168" s="35"/>
      <c r="AA168" s="35"/>
      <c r="AB168" s="35"/>
      <c r="AC168" s="35"/>
      <c r="AD168" s="35"/>
      <c r="AE168" s="35"/>
      <c r="AF168" s="35"/>
    </row>
    <row r="169" spans="22:32" ht="15">
      <c r="V169" s="35"/>
      <c r="W169" s="35"/>
      <c r="X169" s="35"/>
      <c r="Y169" s="35"/>
      <c r="Z169" s="35"/>
      <c r="AA169" s="35"/>
      <c r="AB169" s="35"/>
      <c r="AC169" s="35"/>
      <c r="AD169" s="35"/>
      <c r="AE169" s="35"/>
      <c r="AF169" s="35"/>
    </row>
    <row r="170" spans="22:32" ht="15">
      <c r="V170" s="35"/>
      <c r="W170" s="35"/>
      <c r="X170" s="35"/>
      <c r="Y170" s="35"/>
      <c r="Z170" s="35"/>
      <c r="AA170" s="35"/>
      <c r="AB170" s="35"/>
      <c r="AC170" s="35"/>
      <c r="AD170" s="35"/>
      <c r="AE170" s="35"/>
      <c r="AF170" s="35"/>
    </row>
    <row r="171" spans="22:32" ht="15">
      <c r="V171" s="35"/>
      <c r="W171" s="35"/>
      <c r="X171" s="35"/>
      <c r="Y171" s="35"/>
      <c r="Z171" s="35"/>
      <c r="AA171" s="35"/>
      <c r="AB171" s="35"/>
      <c r="AC171" s="35"/>
      <c r="AD171" s="35"/>
      <c r="AE171" s="35"/>
      <c r="AF171" s="35"/>
    </row>
    <row r="172" spans="22:32" ht="15">
      <c r="V172" s="35"/>
      <c r="W172" s="35"/>
      <c r="X172" s="35"/>
      <c r="Y172" s="35"/>
      <c r="Z172" s="35"/>
      <c r="AA172" s="35"/>
      <c r="AB172" s="35"/>
      <c r="AC172" s="35"/>
      <c r="AD172" s="35"/>
      <c r="AE172" s="35"/>
      <c r="AF172" s="35"/>
    </row>
    <row r="173" spans="22:32" ht="15">
      <c r="V173" s="35"/>
      <c r="W173" s="35"/>
      <c r="X173" s="35"/>
      <c r="Y173" s="35"/>
      <c r="Z173" s="35"/>
      <c r="AA173" s="35"/>
      <c r="AB173" s="35"/>
      <c r="AC173" s="35"/>
      <c r="AD173" s="35"/>
      <c r="AE173" s="35"/>
      <c r="AF173" s="35"/>
    </row>
    <row r="174" spans="22:32" ht="15">
      <c r="V174" s="35"/>
      <c r="W174" s="35"/>
      <c r="X174" s="35"/>
      <c r="Y174" s="35"/>
      <c r="Z174" s="35"/>
      <c r="AA174" s="35"/>
      <c r="AB174" s="35"/>
      <c r="AC174" s="35"/>
      <c r="AD174" s="35"/>
      <c r="AE174" s="35"/>
      <c r="AF174" s="35"/>
    </row>
    <row r="175" spans="22:32" ht="15">
      <c r="V175" s="35"/>
      <c r="W175" s="35"/>
      <c r="X175" s="35"/>
      <c r="Y175" s="35"/>
      <c r="Z175" s="35"/>
      <c r="AA175" s="35"/>
      <c r="AB175" s="35"/>
      <c r="AC175" s="35"/>
      <c r="AD175" s="35"/>
      <c r="AE175" s="35"/>
      <c r="AF175" s="35"/>
    </row>
    <row r="176" spans="22:32" ht="15">
      <c r="V176" s="35"/>
      <c r="W176" s="35"/>
      <c r="X176" s="35"/>
      <c r="Y176" s="35"/>
      <c r="Z176" s="35"/>
      <c r="AA176" s="35"/>
      <c r="AB176" s="35"/>
      <c r="AC176" s="35"/>
      <c r="AD176" s="35"/>
      <c r="AE176" s="35"/>
      <c r="AF176" s="35"/>
    </row>
    <row r="177" spans="22:32" ht="15">
      <c r="V177" s="35"/>
      <c r="W177" s="35"/>
      <c r="X177" s="35"/>
      <c r="Y177" s="35"/>
      <c r="Z177" s="35"/>
      <c r="AA177" s="35"/>
      <c r="AB177" s="35"/>
      <c r="AC177" s="35"/>
      <c r="AD177" s="35"/>
      <c r="AE177" s="35"/>
      <c r="AF177" s="35"/>
    </row>
    <row r="178" spans="22:32" ht="15">
      <c r="V178" s="35"/>
      <c r="W178" s="35"/>
      <c r="X178" s="35"/>
      <c r="Y178" s="35"/>
      <c r="Z178" s="35"/>
      <c r="AA178" s="35"/>
      <c r="AB178" s="35"/>
      <c r="AC178" s="35"/>
      <c r="AD178" s="35"/>
      <c r="AE178" s="35"/>
      <c r="AF178" s="35"/>
    </row>
    <row r="179" spans="22:32" ht="15">
      <c r="V179" s="35"/>
      <c r="W179" s="35"/>
      <c r="X179" s="35"/>
      <c r="Y179" s="35"/>
      <c r="Z179" s="35"/>
      <c r="AA179" s="35"/>
      <c r="AB179" s="35"/>
      <c r="AC179" s="35"/>
      <c r="AD179" s="35"/>
      <c r="AE179" s="35"/>
      <c r="AF179" s="35"/>
    </row>
    <row r="180" spans="22:32" ht="15">
      <c r="V180" s="35"/>
      <c r="W180" s="35"/>
      <c r="X180" s="35"/>
      <c r="Y180" s="35"/>
      <c r="Z180" s="35"/>
      <c r="AA180" s="35"/>
      <c r="AB180" s="35"/>
      <c r="AC180" s="35"/>
      <c r="AD180" s="35"/>
      <c r="AE180" s="35"/>
      <c r="AF180" s="35"/>
    </row>
    <row r="181" spans="22:32" ht="15">
      <c r="V181" s="35"/>
      <c r="W181" s="35"/>
      <c r="X181" s="35"/>
      <c r="Y181" s="35"/>
      <c r="Z181" s="35"/>
      <c r="AA181" s="35"/>
      <c r="AB181" s="35"/>
      <c r="AC181" s="35"/>
      <c r="AD181" s="35"/>
      <c r="AE181" s="35"/>
      <c r="AF181" s="35"/>
    </row>
    <row r="182" spans="22:32" ht="15">
      <c r="V182" s="35"/>
      <c r="W182" s="35"/>
      <c r="X182" s="35"/>
      <c r="Y182" s="35"/>
      <c r="Z182" s="35"/>
      <c r="AA182" s="35"/>
      <c r="AB182" s="35"/>
      <c r="AC182" s="35"/>
      <c r="AD182" s="35"/>
      <c r="AE182" s="35"/>
      <c r="AF182" s="35"/>
    </row>
    <row r="183" spans="22:32" ht="15">
      <c r="V183" s="35"/>
      <c r="W183" s="35"/>
      <c r="X183" s="35"/>
      <c r="Y183" s="35"/>
      <c r="Z183" s="35"/>
      <c r="AA183" s="35"/>
      <c r="AB183" s="35"/>
      <c r="AC183" s="35"/>
      <c r="AD183" s="35"/>
      <c r="AE183" s="35"/>
      <c r="AF183" s="35"/>
    </row>
    <row r="184" spans="22:32" ht="15">
      <c r="V184" s="35"/>
      <c r="W184" s="35"/>
      <c r="X184" s="35"/>
      <c r="Y184" s="35"/>
      <c r="Z184" s="35"/>
      <c r="AA184" s="35"/>
      <c r="AB184" s="35"/>
      <c r="AC184" s="35"/>
      <c r="AD184" s="35"/>
      <c r="AE184" s="35"/>
      <c r="AF184" s="35"/>
    </row>
    <row r="185" spans="22:32" ht="15">
      <c r="V185" s="35"/>
      <c r="W185" s="35"/>
      <c r="X185" s="35"/>
      <c r="Y185" s="35"/>
      <c r="Z185" s="35"/>
      <c r="AA185" s="35"/>
      <c r="AB185" s="35"/>
      <c r="AC185" s="35"/>
      <c r="AD185" s="35"/>
      <c r="AE185" s="35"/>
      <c r="AF185" s="35"/>
    </row>
    <row r="186" spans="22:32" ht="15">
      <c r="V186" s="35"/>
      <c r="W186" s="35"/>
      <c r="X186" s="35"/>
      <c r="Y186" s="35"/>
      <c r="Z186" s="35"/>
      <c r="AA186" s="35"/>
      <c r="AB186" s="35"/>
      <c r="AC186" s="35"/>
      <c r="AD186" s="35"/>
      <c r="AE186" s="35"/>
      <c r="AF186" s="35"/>
    </row>
    <row r="187" spans="22:32" ht="15">
      <c r="V187" s="35"/>
      <c r="W187" s="35"/>
      <c r="X187" s="35"/>
      <c r="Y187" s="35"/>
      <c r="Z187" s="35"/>
      <c r="AA187" s="35"/>
      <c r="AB187" s="35"/>
      <c r="AC187" s="35"/>
      <c r="AD187" s="35"/>
      <c r="AE187" s="35"/>
      <c r="AF187" s="35"/>
    </row>
    <row r="188" spans="22:32" ht="15">
      <c r="V188" s="35"/>
      <c r="W188" s="35"/>
      <c r="X188" s="35"/>
      <c r="Y188" s="35"/>
      <c r="Z188" s="35"/>
      <c r="AA188" s="35"/>
      <c r="AB188" s="35"/>
      <c r="AC188" s="35"/>
      <c r="AD188" s="35"/>
      <c r="AE188" s="35"/>
      <c r="AF188" s="35"/>
    </row>
    <row r="189" spans="22:32" ht="15">
      <c r="V189" s="35"/>
      <c r="W189" s="35"/>
      <c r="X189" s="35"/>
      <c r="Y189" s="35"/>
      <c r="Z189" s="35"/>
      <c r="AA189" s="35"/>
      <c r="AB189" s="35"/>
      <c r="AC189" s="35"/>
      <c r="AD189" s="35"/>
      <c r="AE189" s="35"/>
      <c r="AF189" s="35"/>
    </row>
    <row r="190" spans="22:32" ht="15">
      <c r="V190" s="35"/>
      <c r="W190" s="35"/>
      <c r="X190" s="35"/>
      <c r="Y190" s="35"/>
      <c r="Z190" s="35"/>
      <c r="AA190" s="35"/>
      <c r="AB190" s="35"/>
      <c r="AC190" s="35"/>
      <c r="AD190" s="35"/>
      <c r="AE190" s="35"/>
      <c r="AF190" s="35"/>
    </row>
    <row r="191" spans="22:32" ht="15">
      <c r="V191" s="35"/>
      <c r="W191" s="35"/>
      <c r="X191" s="35"/>
      <c r="Y191" s="35"/>
      <c r="Z191" s="35"/>
      <c r="AA191" s="35"/>
      <c r="AB191" s="35"/>
      <c r="AC191" s="35"/>
      <c r="AD191" s="35"/>
      <c r="AE191" s="35"/>
      <c r="AF191" s="35"/>
    </row>
    <row r="192" spans="22:32" ht="15">
      <c r="V192" s="35"/>
      <c r="W192" s="35"/>
      <c r="X192" s="35"/>
      <c r="Y192" s="35"/>
      <c r="Z192" s="35"/>
      <c r="AA192" s="35"/>
      <c r="AB192" s="35"/>
      <c r="AC192" s="35"/>
      <c r="AD192" s="35"/>
      <c r="AE192" s="35"/>
      <c r="AF192" s="35"/>
    </row>
    <row r="193" spans="22:32" ht="15">
      <c r="V193" s="35"/>
      <c r="W193" s="35"/>
      <c r="X193" s="35"/>
      <c r="Y193" s="35"/>
      <c r="Z193" s="35"/>
      <c r="AA193" s="35"/>
      <c r="AB193" s="35"/>
      <c r="AC193" s="35"/>
      <c r="AD193" s="35"/>
      <c r="AE193" s="35"/>
      <c r="AF193" s="35"/>
    </row>
    <row r="194" spans="22:32" ht="15">
      <c r="V194" s="35"/>
      <c r="W194" s="35"/>
      <c r="X194" s="35"/>
      <c r="Y194" s="35"/>
      <c r="Z194" s="35"/>
      <c r="AA194" s="35"/>
      <c r="AB194" s="35"/>
      <c r="AC194" s="35"/>
      <c r="AD194" s="35"/>
      <c r="AE194" s="35"/>
      <c r="AF194" s="35"/>
    </row>
    <row r="195" spans="22:32" ht="15">
      <c r="V195" s="35"/>
      <c r="W195" s="35"/>
      <c r="X195" s="35"/>
      <c r="Y195" s="35"/>
      <c r="Z195" s="35"/>
      <c r="AA195" s="35"/>
      <c r="AB195" s="35"/>
      <c r="AC195" s="35"/>
      <c r="AD195" s="35"/>
      <c r="AE195" s="35"/>
      <c r="AF195" s="35"/>
    </row>
    <row r="196" spans="22:32" ht="15">
      <c r="V196" s="35"/>
      <c r="W196" s="35"/>
      <c r="X196" s="35"/>
      <c r="Y196" s="35"/>
      <c r="Z196" s="35"/>
      <c r="AA196" s="35"/>
      <c r="AB196" s="35"/>
      <c r="AC196" s="35"/>
      <c r="AD196" s="35"/>
      <c r="AE196" s="35"/>
      <c r="AF196" s="35"/>
    </row>
    <row r="197" spans="22:32" ht="15">
      <c r="V197" s="35"/>
      <c r="W197" s="35"/>
      <c r="X197" s="35"/>
      <c r="Y197" s="35"/>
      <c r="Z197" s="35"/>
      <c r="AA197" s="35"/>
      <c r="AB197" s="35"/>
      <c r="AC197" s="35"/>
      <c r="AD197" s="35"/>
      <c r="AE197" s="35"/>
      <c r="AF197" s="35"/>
    </row>
    <row r="198" spans="22:32" ht="15">
      <c r="V198" s="35"/>
      <c r="W198" s="35"/>
      <c r="X198" s="35"/>
      <c r="Y198" s="35"/>
      <c r="Z198" s="35"/>
      <c r="AA198" s="35"/>
      <c r="AB198" s="35"/>
      <c r="AC198" s="35"/>
      <c r="AD198" s="35"/>
      <c r="AE198" s="35"/>
      <c r="AF198" s="35"/>
    </row>
    <row r="199" spans="22:32" ht="15">
      <c r="V199" s="35"/>
      <c r="W199" s="35"/>
      <c r="X199" s="35"/>
      <c r="Y199" s="35"/>
      <c r="Z199" s="35"/>
      <c r="AA199" s="35"/>
      <c r="AB199" s="35"/>
      <c r="AC199" s="35"/>
      <c r="AD199" s="35"/>
      <c r="AE199" s="35"/>
      <c r="AF199" s="35"/>
    </row>
    <row r="200" spans="22:32" ht="15">
      <c r="V200" s="35"/>
      <c r="W200" s="35"/>
      <c r="X200" s="35"/>
      <c r="Y200" s="35"/>
      <c r="Z200" s="35"/>
      <c r="AA200" s="35"/>
      <c r="AB200" s="35"/>
      <c r="AC200" s="35"/>
      <c r="AD200" s="35"/>
      <c r="AE200" s="35"/>
      <c r="AF200" s="35"/>
    </row>
    <row r="201" spans="22:32" ht="15">
      <c r="V201" s="35"/>
      <c r="W201" s="35"/>
      <c r="X201" s="35"/>
      <c r="Y201" s="35"/>
      <c r="Z201" s="35"/>
      <c r="AA201" s="35"/>
      <c r="AB201" s="35"/>
      <c r="AC201" s="35"/>
      <c r="AD201" s="35"/>
      <c r="AE201" s="35"/>
      <c r="AF201" s="35"/>
    </row>
    <row r="202" spans="22:32" ht="15">
      <c r="V202" s="35"/>
      <c r="W202" s="35"/>
      <c r="X202" s="35"/>
      <c r="Y202" s="35"/>
      <c r="Z202" s="35"/>
      <c r="AA202" s="35"/>
      <c r="AB202" s="35"/>
      <c r="AC202" s="35"/>
      <c r="AD202" s="35"/>
      <c r="AE202" s="35"/>
      <c r="AF202" s="35"/>
    </row>
    <row r="203" spans="22:32" ht="15">
      <c r="V203" s="35"/>
      <c r="W203" s="35"/>
      <c r="X203" s="35"/>
      <c r="Y203" s="35"/>
      <c r="Z203" s="35"/>
      <c r="AA203" s="35"/>
      <c r="AB203" s="35"/>
      <c r="AC203" s="35"/>
      <c r="AD203" s="35"/>
      <c r="AE203" s="35"/>
      <c r="AF203" s="35"/>
    </row>
    <row r="204" spans="22:32" ht="15">
      <c r="V204" s="35"/>
      <c r="W204" s="35"/>
      <c r="X204" s="35"/>
      <c r="Y204" s="35"/>
      <c r="Z204" s="35"/>
      <c r="AA204" s="35"/>
      <c r="AB204" s="35"/>
      <c r="AC204" s="35"/>
      <c r="AD204" s="35"/>
      <c r="AE204" s="35"/>
      <c r="AF204" s="35"/>
    </row>
    <row r="205" spans="22:32" ht="15">
      <c r="V205" s="35"/>
      <c r="W205" s="35"/>
      <c r="X205" s="35"/>
      <c r="Y205" s="35"/>
      <c r="Z205" s="35"/>
      <c r="AA205" s="35"/>
      <c r="AB205" s="35"/>
      <c r="AC205" s="35"/>
      <c r="AD205" s="35"/>
      <c r="AE205" s="35"/>
      <c r="AF205" s="35"/>
    </row>
    <row r="206" spans="22:32" ht="15">
      <c r="V206" s="35"/>
      <c r="W206" s="35"/>
      <c r="X206" s="35"/>
      <c r="Y206" s="35"/>
      <c r="Z206" s="35"/>
      <c r="AA206" s="35"/>
      <c r="AB206" s="35"/>
      <c r="AC206" s="35"/>
      <c r="AD206" s="35"/>
      <c r="AE206" s="35"/>
      <c r="AF206" s="35"/>
    </row>
    <row r="207" spans="22:32" ht="15">
      <c r="V207" s="35"/>
      <c r="W207" s="35"/>
      <c r="X207" s="35"/>
      <c r="Y207" s="35"/>
      <c r="Z207" s="35"/>
      <c r="AA207" s="35"/>
      <c r="AB207" s="35"/>
      <c r="AC207" s="35"/>
      <c r="AD207" s="35"/>
      <c r="AE207" s="35"/>
      <c r="AF207" s="35"/>
    </row>
    <row r="208" spans="22:32" ht="15">
      <c r="V208" s="35"/>
      <c r="W208" s="35"/>
      <c r="X208" s="35"/>
      <c r="Y208" s="35"/>
      <c r="Z208" s="35"/>
      <c r="AA208" s="35"/>
      <c r="AB208" s="35"/>
      <c r="AC208" s="35"/>
      <c r="AD208" s="35"/>
      <c r="AE208" s="35"/>
      <c r="AF208" s="35"/>
    </row>
    <row r="209" spans="22:32" ht="15">
      <c r="V209" s="35"/>
      <c r="W209" s="35"/>
      <c r="X209" s="35"/>
      <c r="Y209" s="35"/>
      <c r="Z209" s="35"/>
      <c r="AA209" s="35"/>
      <c r="AB209" s="35"/>
      <c r="AC209" s="35"/>
      <c r="AD209" s="35"/>
      <c r="AE209" s="35"/>
      <c r="AF209" s="35"/>
    </row>
    <row r="210" spans="22:32" ht="15">
      <c r="V210" s="35"/>
      <c r="W210" s="35"/>
      <c r="X210" s="35"/>
      <c r="Y210" s="35"/>
      <c r="Z210" s="35"/>
      <c r="AA210" s="35"/>
      <c r="AB210" s="35"/>
      <c r="AC210" s="35"/>
      <c r="AD210" s="35"/>
      <c r="AE210" s="35"/>
      <c r="AF210" s="35"/>
    </row>
    <row r="211" spans="22:32" ht="15">
      <c r="V211" s="35"/>
      <c r="W211" s="35"/>
      <c r="X211" s="35"/>
      <c r="Y211" s="35"/>
      <c r="Z211" s="35"/>
      <c r="AA211" s="35"/>
      <c r="AB211" s="35"/>
      <c r="AC211" s="35"/>
      <c r="AD211" s="35"/>
      <c r="AE211" s="35"/>
      <c r="AF211" s="35"/>
    </row>
    <row r="212" spans="22:32" ht="15">
      <c r="V212" s="35"/>
      <c r="W212" s="35"/>
      <c r="X212" s="35"/>
      <c r="Y212" s="35"/>
      <c r="Z212" s="35"/>
      <c r="AA212" s="35"/>
      <c r="AB212" s="35"/>
      <c r="AC212" s="35"/>
      <c r="AD212" s="35"/>
      <c r="AE212" s="35"/>
      <c r="AF212" s="35"/>
    </row>
    <row r="213" spans="22:32" ht="15">
      <c r="V213" s="35"/>
      <c r="W213" s="35"/>
      <c r="X213" s="35"/>
      <c r="Y213" s="35"/>
      <c r="Z213" s="35"/>
      <c r="AA213" s="35"/>
      <c r="AB213" s="35"/>
      <c r="AC213" s="35"/>
      <c r="AD213" s="35"/>
      <c r="AE213" s="35"/>
      <c r="AF213" s="35"/>
    </row>
    <row r="214" spans="22:32" ht="15">
      <c r="V214" s="35"/>
      <c r="W214" s="35"/>
      <c r="X214" s="35"/>
      <c r="Y214" s="35"/>
      <c r="Z214" s="35"/>
      <c r="AA214" s="35"/>
      <c r="AB214" s="35"/>
      <c r="AC214" s="35"/>
      <c r="AD214" s="35"/>
      <c r="AE214" s="35"/>
      <c r="AF214" s="35"/>
    </row>
    <row r="215" spans="22:32" ht="15">
      <c r="V215" s="35"/>
      <c r="W215" s="35"/>
      <c r="X215" s="35"/>
      <c r="Y215" s="35"/>
      <c r="Z215" s="35"/>
      <c r="AA215" s="35"/>
      <c r="AB215" s="35"/>
      <c r="AC215" s="35"/>
      <c r="AD215" s="35"/>
      <c r="AE215" s="35"/>
      <c r="AF215" s="35"/>
    </row>
    <row r="216" spans="22:32" ht="15">
      <c r="V216" s="35"/>
      <c r="W216" s="35"/>
      <c r="X216" s="35"/>
      <c r="Y216" s="35"/>
      <c r="Z216" s="35"/>
      <c r="AA216" s="35"/>
      <c r="AB216" s="35"/>
      <c r="AC216" s="35"/>
      <c r="AD216" s="35"/>
      <c r="AE216" s="35"/>
      <c r="AF216" s="35"/>
    </row>
    <row r="217" spans="22:32" ht="15">
      <c r="V217" s="35"/>
      <c r="W217" s="35"/>
      <c r="X217" s="35"/>
      <c r="Y217" s="35"/>
      <c r="Z217" s="35"/>
      <c r="AA217" s="35"/>
      <c r="AB217" s="35"/>
      <c r="AC217" s="35"/>
      <c r="AD217" s="35"/>
      <c r="AE217" s="35"/>
      <c r="AF217" s="35"/>
    </row>
    <row r="218" spans="22:32" ht="15">
      <c r="V218" s="35"/>
      <c r="W218" s="35"/>
      <c r="X218" s="35"/>
      <c r="Y218" s="35"/>
      <c r="Z218" s="35"/>
      <c r="AA218" s="35"/>
      <c r="AB218" s="35"/>
      <c r="AC218" s="35"/>
      <c r="AD218" s="35"/>
      <c r="AE218" s="35"/>
      <c r="AF218" s="35"/>
    </row>
    <row r="219" spans="22:32" ht="15">
      <c r="V219" s="35"/>
      <c r="W219" s="35"/>
      <c r="X219" s="35"/>
      <c r="Y219" s="35"/>
      <c r="Z219" s="35"/>
      <c r="AA219" s="35"/>
      <c r="AB219" s="35"/>
      <c r="AC219" s="35"/>
      <c r="AD219" s="35"/>
      <c r="AE219" s="35"/>
      <c r="AF219" s="35"/>
    </row>
    <row r="220" spans="22:32" ht="15">
      <c r="V220" s="35"/>
      <c r="W220" s="35"/>
      <c r="X220" s="35"/>
      <c r="Y220" s="35"/>
      <c r="Z220" s="35"/>
      <c r="AA220" s="35"/>
      <c r="AB220" s="35"/>
      <c r="AC220" s="35"/>
      <c r="AD220" s="35"/>
      <c r="AE220" s="35"/>
      <c r="AF220" s="35"/>
    </row>
    <row r="221" spans="22:32" ht="15">
      <c r="V221" s="35"/>
      <c r="W221" s="35"/>
      <c r="X221" s="35"/>
      <c r="Y221" s="35"/>
      <c r="Z221" s="35"/>
      <c r="AA221" s="35"/>
      <c r="AB221" s="35"/>
      <c r="AC221" s="35"/>
      <c r="AD221" s="35"/>
      <c r="AE221" s="35"/>
      <c r="AF221" s="35"/>
    </row>
    <row r="222" spans="22:32" ht="15">
      <c r="V222" s="35"/>
      <c r="W222" s="35"/>
      <c r="X222" s="35"/>
      <c r="Y222" s="35"/>
      <c r="Z222" s="35"/>
      <c r="AA222" s="35"/>
      <c r="AB222" s="35"/>
      <c r="AC222" s="35"/>
      <c r="AD222" s="35"/>
      <c r="AE222" s="35"/>
      <c r="AF222" s="35"/>
    </row>
    <row r="223" spans="22:32" ht="15">
      <c r="V223" s="35"/>
      <c r="W223" s="35"/>
      <c r="X223" s="35"/>
      <c r="Y223" s="35"/>
      <c r="Z223" s="35"/>
      <c r="AA223" s="35"/>
      <c r="AB223" s="35"/>
      <c r="AC223" s="35"/>
      <c r="AD223" s="35"/>
      <c r="AE223" s="35"/>
      <c r="AF223" s="35"/>
    </row>
    <row r="224" spans="22:32" ht="15">
      <c r="V224" s="35"/>
      <c r="W224" s="35"/>
      <c r="X224" s="35"/>
      <c r="Y224" s="35"/>
      <c r="Z224" s="35"/>
      <c r="AA224" s="35"/>
      <c r="AB224" s="35"/>
      <c r="AC224" s="35"/>
      <c r="AD224" s="35"/>
      <c r="AE224" s="35"/>
      <c r="AF224" s="35"/>
    </row>
    <row r="225" spans="22:32" ht="15">
      <c r="V225" s="35"/>
      <c r="W225" s="35"/>
      <c r="X225" s="35"/>
      <c r="Y225" s="35"/>
      <c r="Z225" s="35"/>
      <c r="AA225" s="35"/>
      <c r="AB225" s="35"/>
      <c r="AC225" s="35"/>
      <c r="AD225" s="35"/>
      <c r="AE225" s="35"/>
      <c r="AF225" s="35"/>
    </row>
    <row r="226" spans="22:32" ht="15">
      <c r="V226" s="35"/>
      <c r="W226" s="35"/>
      <c r="X226" s="35"/>
      <c r="Y226" s="35"/>
      <c r="Z226" s="35"/>
      <c r="AA226" s="35"/>
      <c r="AB226" s="35"/>
      <c r="AC226" s="35"/>
      <c r="AD226" s="35"/>
      <c r="AE226" s="35"/>
      <c r="AF226" s="35"/>
    </row>
    <row r="227" spans="22:32" ht="15">
      <c r="V227" s="35"/>
      <c r="W227" s="35"/>
      <c r="X227" s="35"/>
      <c r="Y227" s="35"/>
      <c r="Z227" s="35"/>
      <c r="AA227" s="35"/>
      <c r="AB227" s="35"/>
      <c r="AC227" s="35"/>
      <c r="AD227" s="35"/>
      <c r="AE227" s="35"/>
      <c r="AF227" s="35"/>
    </row>
    <row r="228" spans="22:32" ht="15">
      <c r="V228" s="35"/>
      <c r="W228" s="35"/>
      <c r="X228" s="35"/>
      <c r="Y228" s="35"/>
      <c r="Z228" s="35"/>
      <c r="AA228" s="35"/>
      <c r="AB228" s="35"/>
      <c r="AC228" s="35"/>
      <c r="AD228" s="35"/>
      <c r="AE228" s="35"/>
      <c r="AF228" s="35"/>
    </row>
    <row r="229" spans="22:32" ht="15">
      <c r="V229" s="35"/>
      <c r="W229" s="35"/>
      <c r="X229" s="35"/>
      <c r="Y229" s="35"/>
      <c r="Z229" s="35"/>
      <c r="AA229" s="35"/>
      <c r="AB229" s="35"/>
      <c r="AC229" s="35"/>
      <c r="AD229" s="35"/>
      <c r="AE229" s="35"/>
      <c r="AF229" s="35"/>
    </row>
    <row r="230" spans="22:32" ht="15">
      <c r="V230" s="35"/>
      <c r="W230" s="35"/>
      <c r="X230" s="35"/>
      <c r="Y230" s="35"/>
      <c r="Z230" s="35"/>
      <c r="AA230" s="35"/>
      <c r="AB230" s="35"/>
      <c r="AC230" s="35"/>
      <c r="AD230" s="35"/>
      <c r="AE230" s="35"/>
      <c r="AF230" s="35"/>
    </row>
    <row r="231" spans="22:32" ht="15">
      <c r="V231" s="35"/>
      <c r="W231" s="35"/>
      <c r="X231" s="35"/>
      <c r="Y231" s="35"/>
      <c r="Z231" s="35"/>
      <c r="AA231" s="35"/>
      <c r="AB231" s="35"/>
      <c r="AC231" s="35"/>
      <c r="AD231" s="35"/>
      <c r="AE231" s="35"/>
      <c r="AF231" s="35"/>
    </row>
    <row r="232" spans="22:32" ht="15">
      <c r="V232" s="35"/>
      <c r="W232" s="35"/>
      <c r="X232" s="35"/>
      <c r="Y232" s="35"/>
      <c r="Z232" s="35"/>
      <c r="AA232" s="35"/>
      <c r="AB232" s="35"/>
      <c r="AC232" s="35"/>
      <c r="AD232" s="35"/>
      <c r="AE232" s="35"/>
      <c r="AF232" s="35"/>
    </row>
    <row r="233" spans="22:32" ht="15">
      <c r="V233" s="35"/>
      <c r="W233" s="35"/>
      <c r="X233" s="35"/>
      <c r="Y233" s="35"/>
      <c r="Z233" s="35"/>
      <c r="AA233" s="35"/>
      <c r="AB233" s="35"/>
      <c r="AC233" s="35"/>
      <c r="AD233" s="35"/>
      <c r="AE233" s="35"/>
      <c r="AF233" s="35"/>
    </row>
    <row r="234" spans="22:32" ht="15">
      <c r="V234" s="35"/>
      <c r="W234" s="35"/>
      <c r="X234" s="35"/>
      <c r="Y234" s="35"/>
      <c r="Z234" s="35"/>
      <c r="AA234" s="35"/>
      <c r="AB234" s="35"/>
      <c r="AC234" s="35"/>
      <c r="AD234" s="35"/>
      <c r="AE234" s="35"/>
      <c r="AF234" s="35"/>
    </row>
    <row r="235" spans="22:32" ht="15">
      <c r="V235" s="35"/>
      <c r="W235" s="35"/>
      <c r="X235" s="35"/>
      <c r="Y235" s="35"/>
      <c r="Z235" s="35"/>
      <c r="AA235" s="35"/>
      <c r="AB235" s="35"/>
      <c r="AC235" s="35"/>
      <c r="AD235" s="35"/>
      <c r="AE235" s="35"/>
      <c r="AF235" s="35"/>
    </row>
    <row r="236" spans="22:32" ht="15">
      <c r="V236" s="35"/>
      <c r="W236" s="35"/>
      <c r="X236" s="35"/>
      <c r="Y236" s="35"/>
      <c r="Z236" s="35"/>
      <c r="AA236" s="35"/>
      <c r="AB236" s="35"/>
      <c r="AC236" s="35"/>
      <c r="AD236" s="35"/>
      <c r="AE236" s="35"/>
      <c r="AF236" s="35"/>
    </row>
    <row r="237" spans="22:32" ht="15">
      <c r="V237" s="35"/>
      <c r="W237" s="35"/>
      <c r="X237" s="35"/>
      <c r="Y237" s="35"/>
      <c r="Z237" s="35"/>
      <c r="AA237" s="35"/>
      <c r="AB237" s="35"/>
      <c r="AC237" s="35"/>
      <c r="AD237" s="35"/>
      <c r="AE237" s="35"/>
      <c r="AF237" s="35"/>
    </row>
    <row r="238" spans="22:32" ht="15">
      <c r="V238" s="35"/>
      <c r="W238" s="35"/>
      <c r="X238" s="35"/>
      <c r="Y238" s="35"/>
      <c r="Z238" s="35"/>
      <c r="AA238" s="35"/>
      <c r="AB238" s="35"/>
      <c r="AC238" s="35"/>
      <c r="AD238" s="35"/>
      <c r="AE238" s="35"/>
      <c r="AF238" s="35"/>
    </row>
    <row r="239" spans="22:32" ht="15">
      <c r="V239" s="35"/>
      <c r="W239" s="35"/>
      <c r="X239" s="35"/>
      <c r="Y239" s="35"/>
      <c r="Z239" s="35"/>
      <c r="AA239" s="35"/>
      <c r="AB239" s="35"/>
      <c r="AC239" s="35"/>
      <c r="AD239" s="35"/>
      <c r="AE239" s="35"/>
      <c r="AF239" s="35"/>
    </row>
    <row r="240" spans="22:32" ht="15">
      <c r="V240" s="35"/>
      <c r="W240" s="35"/>
      <c r="X240" s="35"/>
      <c r="Y240" s="35"/>
      <c r="Z240" s="35"/>
      <c r="AA240" s="35"/>
      <c r="AB240" s="35"/>
      <c r="AC240" s="35"/>
      <c r="AD240" s="35"/>
      <c r="AE240" s="35"/>
      <c r="AF240" s="35"/>
    </row>
    <row r="241" spans="22:32" ht="15">
      <c r="V241" s="35"/>
      <c r="W241" s="35"/>
      <c r="X241" s="35"/>
      <c r="Y241" s="35"/>
      <c r="Z241" s="35"/>
      <c r="AA241" s="35"/>
      <c r="AB241" s="35"/>
      <c r="AC241" s="35"/>
      <c r="AD241" s="35"/>
      <c r="AE241" s="35"/>
      <c r="AF241" s="35"/>
    </row>
    <row r="242" spans="22:32" ht="15">
      <c r="V242" s="35"/>
      <c r="W242" s="35"/>
      <c r="X242" s="35"/>
      <c r="Y242" s="35"/>
      <c r="Z242" s="35"/>
      <c r="AA242" s="35"/>
      <c r="AB242" s="35"/>
      <c r="AC242" s="35"/>
      <c r="AD242" s="35"/>
      <c r="AE242" s="35"/>
      <c r="AF242" s="35"/>
    </row>
    <row r="243" spans="22:32" ht="15">
      <c r="V243" s="35"/>
      <c r="W243" s="35"/>
      <c r="X243" s="35"/>
      <c r="Y243" s="35"/>
      <c r="Z243" s="35"/>
      <c r="AA243" s="35"/>
      <c r="AB243" s="35"/>
      <c r="AC243" s="35"/>
      <c r="AD243" s="35"/>
      <c r="AE243" s="35"/>
      <c r="AF243" s="35"/>
    </row>
    <row r="244" spans="22:32" ht="15">
      <c r="V244" s="35"/>
      <c r="W244" s="35"/>
      <c r="X244" s="35"/>
      <c r="Y244" s="35"/>
      <c r="Z244" s="35"/>
      <c r="AA244" s="35"/>
      <c r="AB244" s="35"/>
      <c r="AC244" s="35"/>
      <c r="AD244" s="35"/>
      <c r="AE244" s="35"/>
      <c r="AF244" s="35"/>
    </row>
    <row r="245" spans="22:32" ht="15">
      <c r="V245" s="35"/>
      <c r="W245" s="35"/>
      <c r="X245" s="35"/>
      <c r="Y245" s="35"/>
      <c r="Z245" s="35"/>
      <c r="AA245" s="35"/>
      <c r="AB245" s="35"/>
      <c r="AC245" s="35"/>
      <c r="AD245" s="35"/>
      <c r="AE245" s="35"/>
      <c r="AF245" s="35"/>
    </row>
    <row r="246" spans="22:32" ht="15">
      <c r="V246" s="35"/>
      <c r="W246" s="35"/>
      <c r="X246" s="35"/>
      <c r="Y246" s="35"/>
      <c r="Z246" s="35"/>
      <c r="AA246" s="35"/>
      <c r="AB246" s="35"/>
      <c r="AC246" s="35"/>
      <c r="AD246" s="35"/>
      <c r="AE246" s="35"/>
      <c r="AF246" s="35"/>
    </row>
    <row r="247" spans="22:32" ht="15">
      <c r="V247" s="35"/>
      <c r="W247" s="35"/>
      <c r="X247" s="35"/>
      <c r="Y247" s="35"/>
      <c r="Z247" s="35"/>
      <c r="AA247" s="35"/>
      <c r="AB247" s="35"/>
      <c r="AC247" s="35"/>
      <c r="AD247" s="35"/>
      <c r="AE247" s="35"/>
      <c r="AF247" s="35"/>
    </row>
    <row r="248" spans="22:32" ht="15">
      <c r="V248" s="35"/>
      <c r="W248" s="35"/>
      <c r="X248" s="35"/>
      <c r="Y248" s="35"/>
      <c r="Z248" s="35"/>
      <c r="AA248" s="35"/>
      <c r="AB248" s="35"/>
      <c r="AC248" s="35"/>
      <c r="AD248" s="35"/>
      <c r="AE248" s="35"/>
      <c r="AF248" s="35"/>
    </row>
    <row r="249" spans="22:32" ht="15">
      <c r="V249" s="35"/>
      <c r="W249" s="35"/>
      <c r="X249" s="35"/>
      <c r="Y249" s="35"/>
      <c r="Z249" s="35"/>
      <c r="AA249" s="35"/>
      <c r="AB249" s="35"/>
      <c r="AC249" s="35"/>
      <c r="AD249" s="35"/>
      <c r="AE249" s="35"/>
      <c r="AF249" s="35"/>
    </row>
    <row r="250" spans="22:32" ht="15">
      <c r="V250" s="35"/>
      <c r="W250" s="35"/>
      <c r="X250" s="35"/>
      <c r="Y250" s="35"/>
      <c r="Z250" s="35"/>
      <c r="AA250" s="35"/>
      <c r="AB250" s="35"/>
      <c r="AC250" s="35"/>
      <c r="AD250" s="35"/>
      <c r="AE250" s="35"/>
      <c r="AF250" s="35"/>
    </row>
    <row r="251" spans="22:32" ht="15">
      <c r="V251" s="35"/>
      <c r="W251" s="35"/>
      <c r="X251" s="35"/>
      <c r="Y251" s="35"/>
      <c r="Z251" s="35"/>
      <c r="AA251" s="35"/>
      <c r="AB251" s="35"/>
      <c r="AC251" s="35"/>
      <c r="AD251" s="35"/>
      <c r="AE251" s="35"/>
      <c r="AF251" s="35"/>
    </row>
    <row r="252" spans="22:32" ht="15">
      <c r="V252" s="35"/>
      <c r="W252" s="35"/>
      <c r="X252" s="35"/>
      <c r="Y252" s="35"/>
      <c r="Z252" s="35"/>
      <c r="AA252" s="35"/>
      <c r="AB252" s="35"/>
      <c r="AC252" s="35"/>
      <c r="AD252" s="35"/>
      <c r="AE252" s="35"/>
      <c r="AF252" s="35"/>
    </row>
    <row r="253" spans="22:32" ht="15">
      <c r="V253" s="35"/>
      <c r="W253" s="35"/>
      <c r="X253" s="35"/>
      <c r="Y253" s="35"/>
      <c r="Z253" s="35"/>
      <c r="AA253" s="35"/>
      <c r="AB253" s="35"/>
      <c r="AC253" s="35"/>
      <c r="AD253" s="35"/>
      <c r="AE253" s="35"/>
      <c r="AF253" s="35"/>
    </row>
    <row r="254" spans="22:32" ht="15">
      <c r="V254" s="35"/>
      <c r="W254" s="35"/>
      <c r="X254" s="35"/>
      <c r="Y254" s="35"/>
      <c r="Z254" s="35"/>
      <c r="AA254" s="35"/>
      <c r="AB254" s="35"/>
      <c r="AC254" s="35"/>
      <c r="AD254" s="35"/>
      <c r="AE254" s="35"/>
      <c r="AF254" s="35"/>
    </row>
    <row r="255" spans="22:32" ht="15">
      <c r="V255" s="35"/>
      <c r="W255" s="35"/>
      <c r="X255" s="35"/>
      <c r="Y255" s="35"/>
      <c r="Z255" s="35"/>
      <c r="AA255" s="35"/>
      <c r="AB255" s="35"/>
      <c r="AC255" s="35"/>
      <c r="AD255" s="35"/>
      <c r="AE255" s="35"/>
      <c r="AF255" s="35"/>
    </row>
    <row r="256" spans="22:32" ht="15">
      <c r="V256" s="35"/>
      <c r="W256" s="35"/>
      <c r="X256" s="35"/>
      <c r="Y256" s="35"/>
      <c r="Z256" s="35"/>
      <c r="AA256" s="35"/>
      <c r="AB256" s="35"/>
      <c r="AC256" s="35"/>
      <c r="AD256" s="35"/>
      <c r="AE256" s="35"/>
      <c r="AF256" s="35"/>
    </row>
    <row r="257" spans="22:32" ht="15">
      <c r="V257" s="35"/>
      <c r="W257" s="35"/>
      <c r="X257" s="35"/>
      <c r="Y257" s="35"/>
      <c r="Z257" s="35"/>
      <c r="AA257" s="35"/>
      <c r="AB257" s="35"/>
      <c r="AC257" s="35"/>
      <c r="AD257" s="35"/>
      <c r="AE257" s="35"/>
      <c r="AF257" s="35"/>
    </row>
    <row r="258" spans="22:32" ht="15">
      <c r="V258" s="35"/>
      <c r="W258" s="35"/>
      <c r="X258" s="35"/>
      <c r="Y258" s="35"/>
      <c r="Z258" s="35"/>
      <c r="AA258" s="35"/>
      <c r="AB258" s="35"/>
      <c r="AC258" s="35"/>
      <c r="AD258" s="35"/>
      <c r="AE258" s="35"/>
      <c r="AF258" s="35"/>
    </row>
    <row r="259" spans="22:32" ht="15">
      <c r="V259" s="35"/>
      <c r="W259" s="35"/>
      <c r="X259" s="35"/>
      <c r="Y259" s="35"/>
      <c r="Z259" s="35"/>
      <c r="AA259" s="35"/>
      <c r="AB259" s="35"/>
      <c r="AC259" s="35"/>
      <c r="AD259" s="35"/>
      <c r="AE259" s="35"/>
      <c r="AF259" s="35"/>
    </row>
    <row r="260" spans="22:32" ht="15">
      <c r="V260" s="35"/>
      <c r="W260" s="35"/>
      <c r="X260" s="35"/>
      <c r="Y260" s="35"/>
      <c r="Z260" s="35"/>
      <c r="AA260" s="35"/>
      <c r="AB260" s="35"/>
      <c r="AC260" s="35"/>
      <c r="AD260" s="35"/>
      <c r="AE260" s="35"/>
      <c r="AF260" s="35"/>
    </row>
    <row r="261" spans="22:32" ht="15">
      <c r="V261" s="35"/>
      <c r="W261" s="35"/>
      <c r="X261" s="35"/>
      <c r="Y261" s="35"/>
      <c r="Z261" s="35"/>
      <c r="AA261" s="35"/>
      <c r="AB261" s="35"/>
      <c r="AC261" s="35"/>
      <c r="AD261" s="35"/>
      <c r="AE261" s="35"/>
      <c r="AF261" s="35"/>
    </row>
    <row r="262" spans="22:32" ht="15">
      <c r="V262" s="35"/>
      <c r="W262" s="35"/>
      <c r="X262" s="35"/>
      <c r="Y262" s="35"/>
      <c r="Z262" s="35"/>
      <c r="AA262" s="35"/>
      <c r="AB262" s="35"/>
      <c r="AC262" s="35"/>
      <c r="AD262" s="35"/>
      <c r="AE262" s="35"/>
      <c r="AF262" s="35"/>
    </row>
    <row r="263" spans="22:32" ht="15">
      <c r="V263" s="35"/>
      <c r="W263" s="35"/>
      <c r="X263" s="35"/>
      <c r="Y263" s="35"/>
      <c r="Z263" s="35"/>
      <c r="AA263" s="35"/>
      <c r="AB263" s="35"/>
      <c r="AC263" s="35"/>
      <c r="AD263" s="35"/>
      <c r="AE263" s="35"/>
      <c r="AF263" s="35"/>
    </row>
    <row r="264" spans="22:32" ht="15">
      <c r="V264" s="35"/>
      <c r="W264" s="35"/>
      <c r="X264" s="35"/>
      <c r="Y264" s="35"/>
      <c r="Z264" s="35"/>
      <c r="AA264" s="35"/>
      <c r="AB264" s="35"/>
      <c r="AC264" s="35"/>
      <c r="AD264" s="35"/>
      <c r="AE264" s="35"/>
      <c r="AF264" s="35"/>
    </row>
    <row r="265" spans="22:32" ht="15">
      <c r="V265" s="35"/>
      <c r="W265" s="35"/>
      <c r="X265" s="35"/>
      <c r="Y265" s="35"/>
      <c r="Z265" s="35"/>
      <c r="AA265" s="35"/>
      <c r="AB265" s="35"/>
      <c r="AC265" s="35"/>
      <c r="AD265" s="35"/>
      <c r="AE265" s="35"/>
      <c r="AF265" s="35"/>
    </row>
    <row r="266" spans="22:32" ht="15">
      <c r="V266" s="35"/>
      <c r="W266" s="35"/>
      <c r="X266" s="35"/>
      <c r="Y266" s="35"/>
      <c r="Z266" s="35"/>
      <c r="AA266" s="35"/>
      <c r="AB266" s="35"/>
      <c r="AC266" s="35"/>
      <c r="AD266" s="35"/>
      <c r="AE266" s="35"/>
      <c r="AF266" s="35"/>
    </row>
    <row r="267" spans="22:32" ht="15">
      <c r="V267" s="35"/>
      <c r="W267" s="35"/>
      <c r="X267" s="35"/>
      <c r="Y267" s="35"/>
      <c r="Z267" s="35"/>
      <c r="AA267" s="35"/>
      <c r="AB267" s="35"/>
      <c r="AC267" s="35"/>
      <c r="AD267" s="35"/>
      <c r="AE267" s="35"/>
      <c r="AF267" s="35"/>
    </row>
    <row r="268" spans="22:32" ht="15">
      <c r="V268" s="35"/>
      <c r="W268" s="35"/>
      <c r="X268" s="35"/>
      <c r="Y268" s="35"/>
      <c r="Z268" s="35"/>
      <c r="AA268" s="35"/>
      <c r="AB268" s="35"/>
      <c r="AC268" s="35"/>
      <c r="AD268" s="35"/>
      <c r="AE268" s="35"/>
      <c r="AF268" s="35"/>
    </row>
    <row r="269" spans="22:32" ht="15">
      <c r="V269" s="35"/>
      <c r="W269" s="35"/>
      <c r="X269" s="35"/>
      <c r="Y269" s="35"/>
      <c r="Z269" s="35"/>
      <c r="AA269" s="35"/>
      <c r="AB269" s="35"/>
      <c r="AC269" s="35"/>
      <c r="AD269" s="35"/>
      <c r="AE269" s="35"/>
      <c r="AF269" s="35"/>
    </row>
    <row r="270" spans="22:32" ht="15">
      <c r="V270" s="35"/>
      <c r="W270" s="35"/>
      <c r="X270" s="35"/>
      <c r="Y270" s="35"/>
      <c r="Z270" s="35"/>
      <c r="AA270" s="35"/>
      <c r="AB270" s="35"/>
      <c r="AC270" s="35"/>
      <c r="AD270" s="35"/>
      <c r="AE270" s="35"/>
      <c r="AF270" s="35"/>
    </row>
    <row r="271" spans="22:32" ht="15">
      <c r="V271" s="35"/>
      <c r="W271" s="35"/>
      <c r="X271" s="35"/>
      <c r="Y271" s="35"/>
      <c r="Z271" s="35"/>
      <c r="AA271" s="35"/>
      <c r="AB271" s="35"/>
      <c r="AC271" s="35"/>
      <c r="AD271" s="35"/>
      <c r="AE271" s="35"/>
      <c r="AF271" s="35"/>
    </row>
    <row r="272" spans="22:32" ht="15">
      <c r="V272" s="35"/>
      <c r="W272" s="35"/>
      <c r="X272" s="35"/>
      <c r="Y272" s="35"/>
      <c r="Z272" s="35"/>
      <c r="AA272" s="35"/>
      <c r="AB272" s="35"/>
      <c r="AC272" s="35"/>
      <c r="AD272" s="35"/>
      <c r="AE272" s="35"/>
      <c r="AF272" s="35"/>
    </row>
    <row r="273" spans="22:32" ht="15">
      <c r="V273" s="35"/>
      <c r="W273" s="35"/>
      <c r="X273" s="35"/>
      <c r="Y273" s="35"/>
      <c r="Z273" s="35"/>
      <c r="AA273" s="35"/>
      <c r="AB273" s="35"/>
      <c r="AC273" s="35"/>
      <c r="AD273" s="35"/>
      <c r="AE273" s="35"/>
      <c r="AF273" s="35"/>
    </row>
    <row r="274" spans="22:32" ht="15">
      <c r="V274" s="35"/>
      <c r="W274" s="35"/>
      <c r="X274" s="35"/>
      <c r="Y274" s="35"/>
      <c r="Z274" s="35"/>
      <c r="AA274" s="35"/>
      <c r="AB274" s="35"/>
      <c r="AC274" s="35"/>
      <c r="AD274" s="35"/>
      <c r="AE274" s="35"/>
      <c r="AF274" s="35"/>
    </row>
    <row r="275" spans="22:32" ht="15">
      <c r="V275" s="35"/>
      <c r="W275" s="35"/>
      <c r="X275" s="35"/>
      <c r="Y275" s="35"/>
      <c r="Z275" s="35"/>
      <c r="AA275" s="35"/>
      <c r="AB275" s="35"/>
      <c r="AC275" s="35"/>
      <c r="AD275" s="35"/>
      <c r="AE275" s="35"/>
      <c r="AF275" s="35"/>
    </row>
    <row r="276" spans="22:32" ht="15">
      <c r="V276" s="35"/>
      <c r="W276" s="35"/>
      <c r="X276" s="35"/>
      <c r="Y276" s="35"/>
      <c r="Z276" s="35"/>
      <c r="AA276" s="35"/>
      <c r="AB276" s="35"/>
      <c r="AC276" s="35"/>
      <c r="AD276" s="35"/>
      <c r="AE276" s="35"/>
      <c r="AF276" s="35"/>
    </row>
    <row r="277" spans="22:32" ht="15">
      <c r="V277" s="35"/>
      <c r="W277" s="35"/>
      <c r="X277" s="35"/>
      <c r="Y277" s="35"/>
      <c r="Z277" s="35"/>
      <c r="AA277" s="35"/>
      <c r="AB277" s="35"/>
      <c r="AC277" s="35"/>
      <c r="AD277" s="35"/>
      <c r="AE277" s="35"/>
      <c r="AF277" s="35"/>
    </row>
    <row r="278" spans="22:32" ht="15">
      <c r="V278" s="35"/>
      <c r="W278" s="35"/>
      <c r="X278" s="35"/>
      <c r="Y278" s="35"/>
      <c r="Z278" s="35"/>
      <c r="AA278" s="35"/>
      <c r="AB278" s="35"/>
      <c r="AC278" s="35"/>
      <c r="AD278" s="35"/>
      <c r="AE278" s="35"/>
      <c r="AF278" s="35"/>
    </row>
    <row r="279" spans="22:32" ht="15">
      <c r="V279" s="35"/>
      <c r="W279" s="35"/>
      <c r="X279" s="35"/>
      <c r="Y279" s="35"/>
      <c r="Z279" s="35"/>
      <c r="AA279" s="35"/>
      <c r="AB279" s="35"/>
      <c r="AC279" s="35"/>
      <c r="AD279" s="35"/>
      <c r="AE279" s="35"/>
      <c r="AF279" s="35"/>
    </row>
    <row r="280" spans="22:32" ht="15">
      <c r="V280" s="35"/>
      <c r="W280" s="35"/>
      <c r="X280" s="35"/>
      <c r="Y280" s="35"/>
      <c r="Z280" s="35"/>
      <c r="AA280" s="35"/>
      <c r="AB280" s="35"/>
      <c r="AC280" s="35"/>
      <c r="AD280" s="35"/>
      <c r="AE280" s="35"/>
      <c r="AF280" s="35"/>
    </row>
    <row r="281" spans="22:32" ht="15">
      <c r="V281" s="35"/>
      <c r="W281" s="35"/>
      <c r="X281" s="35"/>
      <c r="Y281" s="35"/>
      <c r="Z281" s="35"/>
      <c r="AA281" s="35"/>
      <c r="AB281" s="35"/>
      <c r="AC281" s="35"/>
      <c r="AD281" s="35"/>
      <c r="AE281" s="35"/>
      <c r="AF281" s="35"/>
    </row>
    <row r="282" spans="22:32" ht="15">
      <c r="V282" s="35"/>
      <c r="W282" s="35"/>
      <c r="X282" s="35"/>
      <c r="Y282" s="35"/>
      <c r="Z282" s="35"/>
      <c r="AA282" s="35"/>
      <c r="AB282" s="35"/>
      <c r="AC282" s="35"/>
      <c r="AD282" s="35"/>
      <c r="AE282" s="35"/>
      <c r="AF282" s="35"/>
    </row>
    <row r="283" spans="22:32" ht="15">
      <c r="V283" s="35"/>
      <c r="W283" s="35"/>
      <c r="X283" s="35"/>
      <c r="Y283" s="35"/>
      <c r="Z283" s="35"/>
      <c r="AA283" s="35"/>
      <c r="AB283" s="35"/>
      <c r="AC283" s="35"/>
      <c r="AD283" s="35"/>
      <c r="AE283" s="35"/>
      <c r="AF283" s="35"/>
    </row>
    <row r="284" spans="22:32" ht="15">
      <c r="V284" s="35"/>
      <c r="W284" s="35"/>
      <c r="X284" s="35"/>
      <c r="Y284" s="35"/>
      <c r="Z284" s="35"/>
      <c r="AA284" s="35"/>
      <c r="AB284" s="35"/>
      <c r="AC284" s="35"/>
      <c r="AD284" s="35"/>
      <c r="AE284" s="35"/>
      <c r="AF284" s="37"/>
    </row>
    <row r="285" spans="22:32" ht="15">
      <c r="V285" s="35"/>
      <c r="W285" s="35"/>
      <c r="X285" s="35"/>
      <c r="Y285" s="35"/>
      <c r="Z285" s="35"/>
      <c r="AA285" s="35"/>
      <c r="AB285" s="35"/>
      <c r="AC285" s="35"/>
      <c r="AD285" s="35"/>
      <c r="AE285" s="35"/>
      <c r="AF285" s="35"/>
    </row>
    <row r="286" spans="22:32" ht="15.75">
      <c r="V286" s="38"/>
      <c r="W286" s="38"/>
      <c r="X286" s="38"/>
      <c r="Y286" s="38"/>
      <c r="Z286" s="35"/>
      <c r="AA286" s="36"/>
      <c r="AB286" s="35"/>
      <c r="AC286" s="35"/>
      <c r="AD286" s="35"/>
      <c r="AE286" s="35"/>
      <c r="AF286" s="35"/>
    </row>
    <row r="287" spans="22:32" ht="15">
      <c r="V287" s="38"/>
      <c r="W287" s="38"/>
      <c r="X287" s="38"/>
      <c r="Y287" s="38"/>
    </row>
    <row r="288" spans="22:32" ht="15">
      <c r="V288" s="38"/>
      <c r="W288" s="38"/>
      <c r="X288" s="38"/>
      <c r="Y288" s="38"/>
    </row>
    <row r="289" spans="22:25" ht="15">
      <c r="V289" s="39" t="s">
        <v>383</v>
      </c>
      <c r="W289" s="39" t="s">
        <v>384</v>
      </c>
      <c r="X289" s="39" t="s">
        <v>385</v>
      </c>
      <c r="Y289" s="38"/>
    </row>
    <row r="290" spans="22:25" ht="15">
      <c r="V290" s="39" t="s">
        <v>385</v>
      </c>
      <c r="W290" s="39" t="s">
        <v>386</v>
      </c>
      <c r="X290" s="39" t="s">
        <v>1037</v>
      </c>
      <c r="Y290" s="39" t="s">
        <v>387</v>
      </c>
    </row>
    <row r="291" spans="22:25" ht="15">
      <c r="V291" s="39" t="s">
        <v>1037</v>
      </c>
      <c r="W291" s="39" t="s">
        <v>388</v>
      </c>
      <c r="X291" s="39" t="s">
        <v>388</v>
      </c>
      <c r="Y291" s="39" t="s">
        <v>1037</v>
      </c>
    </row>
    <row r="292" spans="22:25">
      <c r="V292" s="40">
        <v>0.5</v>
      </c>
      <c r="W292" s="40">
        <v>0.6</v>
      </c>
      <c r="X292" s="40">
        <v>0.8</v>
      </c>
      <c r="Y292" s="40">
        <v>0.95</v>
      </c>
    </row>
    <row r="293" spans="22:25" ht="15">
      <c r="V293" s="38" t="e">
        <f t="shared" ref="V293:Y307" si="0">ROUNDINCLIMITTO*ROUND($U$289*$T293*V$292/ROUNDINCLIMITTO,0)</f>
        <v>#DIV/0!</v>
      </c>
      <c r="W293" s="38" t="e">
        <f t="shared" si="0"/>
        <v>#DIV/0!</v>
      </c>
      <c r="X293" s="38" t="e">
        <f t="shared" si="0"/>
        <v>#DIV/0!</v>
      </c>
      <c r="Y293" s="38" t="e">
        <f t="shared" si="0"/>
        <v>#DIV/0!</v>
      </c>
    </row>
    <row r="294" spans="22:25" ht="15">
      <c r="V294" s="38" t="e">
        <f t="shared" si="0"/>
        <v>#DIV/0!</v>
      </c>
      <c r="W294" s="38" t="e">
        <f t="shared" si="0"/>
        <v>#DIV/0!</v>
      </c>
      <c r="X294" s="38" t="e">
        <f t="shared" si="0"/>
        <v>#DIV/0!</v>
      </c>
      <c r="Y294" s="38" t="e">
        <f t="shared" si="0"/>
        <v>#DIV/0!</v>
      </c>
    </row>
    <row r="295" spans="22:25" ht="15">
      <c r="V295" s="38" t="e">
        <f t="shared" si="0"/>
        <v>#DIV/0!</v>
      </c>
      <c r="W295" s="38" t="e">
        <f t="shared" si="0"/>
        <v>#DIV/0!</v>
      </c>
      <c r="X295" s="38" t="e">
        <f t="shared" si="0"/>
        <v>#DIV/0!</v>
      </c>
      <c r="Y295" s="38" t="e">
        <f t="shared" si="0"/>
        <v>#DIV/0!</v>
      </c>
    </row>
    <row r="296" spans="22:25" ht="15">
      <c r="V296" s="38" t="e">
        <f t="shared" si="0"/>
        <v>#DIV/0!</v>
      </c>
      <c r="W296" s="38" t="e">
        <f t="shared" si="0"/>
        <v>#DIV/0!</v>
      </c>
      <c r="X296" s="38" t="e">
        <f t="shared" si="0"/>
        <v>#DIV/0!</v>
      </c>
      <c r="Y296" s="38" t="e">
        <f t="shared" si="0"/>
        <v>#DIV/0!</v>
      </c>
    </row>
    <row r="297" spans="22:25" ht="15">
      <c r="V297" s="38" t="e">
        <f t="shared" si="0"/>
        <v>#DIV/0!</v>
      </c>
      <c r="W297" s="38" t="e">
        <f t="shared" si="0"/>
        <v>#DIV/0!</v>
      </c>
      <c r="X297" s="38" t="e">
        <f t="shared" si="0"/>
        <v>#DIV/0!</v>
      </c>
      <c r="Y297" s="38" t="e">
        <f t="shared" si="0"/>
        <v>#DIV/0!</v>
      </c>
    </row>
    <row r="298" spans="22:25" ht="15">
      <c r="V298" s="38" t="e">
        <f t="shared" si="0"/>
        <v>#DIV/0!</v>
      </c>
      <c r="W298" s="38" t="e">
        <f t="shared" si="0"/>
        <v>#DIV/0!</v>
      </c>
      <c r="X298" s="38" t="e">
        <f t="shared" si="0"/>
        <v>#DIV/0!</v>
      </c>
      <c r="Y298" s="38" t="e">
        <f t="shared" si="0"/>
        <v>#DIV/0!</v>
      </c>
    </row>
    <row r="299" spans="22:25" ht="15">
      <c r="V299" s="38" t="e">
        <f t="shared" si="0"/>
        <v>#DIV/0!</v>
      </c>
      <c r="W299" s="38" t="e">
        <f t="shared" si="0"/>
        <v>#DIV/0!</v>
      </c>
      <c r="X299" s="38" t="e">
        <f t="shared" si="0"/>
        <v>#DIV/0!</v>
      </c>
      <c r="Y299" s="38" t="e">
        <f t="shared" si="0"/>
        <v>#DIV/0!</v>
      </c>
    </row>
    <row r="300" spans="22:25" ht="15">
      <c r="V300" s="38" t="e">
        <f t="shared" si="0"/>
        <v>#DIV/0!</v>
      </c>
      <c r="W300" s="38" t="e">
        <f t="shared" si="0"/>
        <v>#DIV/0!</v>
      </c>
      <c r="X300" s="38" t="e">
        <f t="shared" si="0"/>
        <v>#DIV/0!</v>
      </c>
      <c r="Y300" s="38" t="e">
        <f t="shared" si="0"/>
        <v>#DIV/0!</v>
      </c>
    </row>
    <row r="301" spans="22:25" ht="15">
      <c r="V301" s="38" t="e">
        <f t="shared" si="0"/>
        <v>#DIV/0!</v>
      </c>
      <c r="W301" s="38" t="e">
        <f t="shared" si="0"/>
        <v>#DIV/0!</v>
      </c>
      <c r="X301" s="38" t="e">
        <f t="shared" si="0"/>
        <v>#DIV/0!</v>
      </c>
      <c r="Y301" s="38" t="e">
        <f t="shared" si="0"/>
        <v>#DIV/0!</v>
      </c>
    </row>
    <row r="302" spans="22:25" ht="15">
      <c r="V302" s="38" t="e">
        <f t="shared" si="0"/>
        <v>#DIV/0!</v>
      </c>
      <c r="W302" s="38" t="e">
        <f t="shared" si="0"/>
        <v>#DIV/0!</v>
      </c>
      <c r="X302" s="38" t="e">
        <f t="shared" si="0"/>
        <v>#DIV/0!</v>
      </c>
      <c r="Y302" s="38" t="e">
        <f t="shared" si="0"/>
        <v>#DIV/0!</v>
      </c>
    </row>
    <row r="303" spans="22:25" ht="15">
      <c r="V303" s="38" t="e">
        <f t="shared" si="0"/>
        <v>#DIV/0!</v>
      </c>
      <c r="W303" s="38" t="e">
        <f t="shared" si="0"/>
        <v>#DIV/0!</v>
      </c>
      <c r="X303" s="38" t="e">
        <f t="shared" si="0"/>
        <v>#DIV/0!</v>
      </c>
      <c r="Y303" s="38" t="e">
        <f t="shared" si="0"/>
        <v>#DIV/0!</v>
      </c>
    </row>
    <row r="304" spans="22:25" ht="15">
      <c r="V304" s="38" t="e">
        <f t="shared" si="0"/>
        <v>#DIV/0!</v>
      </c>
      <c r="W304" s="38" t="e">
        <f t="shared" si="0"/>
        <v>#DIV/0!</v>
      </c>
      <c r="X304" s="38" t="e">
        <f t="shared" si="0"/>
        <v>#DIV/0!</v>
      </c>
      <c r="Y304" s="38" t="e">
        <f t="shared" si="0"/>
        <v>#DIV/0!</v>
      </c>
    </row>
    <row r="305" spans="22:25" ht="15">
      <c r="V305" s="38" t="e">
        <f t="shared" si="0"/>
        <v>#DIV/0!</v>
      </c>
      <c r="W305" s="38" t="e">
        <f t="shared" si="0"/>
        <v>#DIV/0!</v>
      </c>
      <c r="X305" s="38" t="e">
        <f t="shared" si="0"/>
        <v>#DIV/0!</v>
      </c>
      <c r="Y305" s="38" t="e">
        <f t="shared" si="0"/>
        <v>#DIV/0!</v>
      </c>
    </row>
    <row r="306" spans="22:25" ht="15">
      <c r="V306" s="38" t="e">
        <f t="shared" si="0"/>
        <v>#DIV/0!</v>
      </c>
      <c r="W306" s="38" t="e">
        <f t="shared" si="0"/>
        <v>#DIV/0!</v>
      </c>
      <c r="X306" s="38" t="e">
        <f t="shared" si="0"/>
        <v>#DIV/0!</v>
      </c>
      <c r="Y306" s="38" t="e">
        <f t="shared" si="0"/>
        <v>#DIV/0!</v>
      </c>
    </row>
    <row r="307" spans="22:25" ht="15">
      <c r="V307" s="38" t="e">
        <f t="shared" si="0"/>
        <v>#DIV/0!</v>
      </c>
      <c r="W307" s="38" t="e">
        <f t="shared" si="0"/>
        <v>#DIV/0!</v>
      </c>
      <c r="X307" s="38" t="e">
        <f t="shared" si="0"/>
        <v>#DIV/0!</v>
      </c>
      <c r="Y307" s="38" t="e">
        <f t="shared" si="0"/>
        <v>#DIV/0!</v>
      </c>
    </row>
    <row r="308" spans="22:25" ht="15">
      <c r="V308" s="38"/>
      <c r="W308" s="38"/>
      <c r="X308" s="38"/>
      <c r="Y308" s="38"/>
    </row>
    <row r="309" spans="22:25" ht="15">
      <c r="V309" s="38"/>
      <c r="W309" s="38"/>
      <c r="X309" s="38"/>
      <c r="Y309" s="38"/>
    </row>
    <row r="310" spans="22:25" ht="15">
      <c r="V310" s="38"/>
      <c r="W310" s="38"/>
      <c r="X310" s="38"/>
      <c r="Y310" s="38"/>
    </row>
  </sheetData>
  <sheetProtection password="D405" sheet="1" objects="1" scenarios="1"/>
  <mergeCells count="1">
    <mergeCell ref="A1:B1"/>
  </mergeCells>
  <phoneticPr fontId="140" type="noConversion"/>
  <pageMargins left="0.75" right="0.75" top="1" bottom="1" header="0.5" footer="0.5"/>
  <pageSetup orientation="portrait" blackAndWhite="1"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
  <sheetViews>
    <sheetView workbookViewId="0"/>
  </sheetViews>
  <sheetFormatPr defaultRowHeight="15"/>
  <cols>
    <col min="1" max="16384" width="9.33203125" style="901"/>
  </cols>
  <sheetData/>
  <phoneticPr fontId="140" type="noConversion"/>
  <pageMargins left="0.75" right="0.75" top="1" bottom="1" header="0.5" footer="0.5"/>
  <pageSetup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M62"/>
  <sheetViews>
    <sheetView showGridLines="0" zoomScaleNormal="100" workbookViewId="0"/>
  </sheetViews>
  <sheetFormatPr defaultRowHeight="12.75"/>
  <cols>
    <col min="1" max="1" width="4.5" style="844" customWidth="1"/>
    <col min="2" max="4" width="9.33203125" style="842"/>
    <col min="5" max="5" width="15.83203125" style="842" bestFit="1" customWidth="1"/>
    <col min="6" max="12" width="9.33203125" style="842"/>
    <col min="13" max="13" width="4.1640625" style="842" customWidth="1"/>
    <col min="14" max="16384" width="9.33203125" style="842"/>
  </cols>
  <sheetData>
    <row r="1" spans="1:7" ht="20.25">
      <c r="E1" s="845" t="str">
        <f>"FREQUENTLY ASKED QUESTIONS- VERSION " &amp; version_number</f>
        <v>FREQUENTLY ASKED QUESTIONS- VERSION 1.21</v>
      </c>
    </row>
    <row r="2" spans="1:7" ht="15.75">
      <c r="E2" s="857" t="s">
        <v>237</v>
      </c>
      <c r="F2" s="871" t="s">
        <v>93</v>
      </c>
      <c r="G2" s="843"/>
    </row>
    <row r="3" spans="1:7" ht="15.75">
      <c r="E3" s="857" t="s">
        <v>260</v>
      </c>
      <c r="F3" s="871" t="s">
        <v>94</v>
      </c>
      <c r="G3" s="843"/>
    </row>
    <row r="4" spans="1:7" ht="15.75">
      <c r="E4" s="857" t="s">
        <v>264</v>
      </c>
      <c r="F4" s="871" t="s">
        <v>95</v>
      </c>
      <c r="G4" s="843"/>
    </row>
    <row r="5" spans="1:7" ht="15.75">
      <c r="E5" s="857" t="s">
        <v>266</v>
      </c>
      <c r="F5" s="871" t="s">
        <v>270</v>
      </c>
    </row>
    <row r="8" spans="1:7" ht="15.75">
      <c r="E8" s="857"/>
      <c r="F8" s="870"/>
      <c r="G8" s="843"/>
    </row>
    <row r="9" spans="1:7" s="843" customFormat="1" ht="15.75">
      <c r="A9" s="846" t="s">
        <v>237</v>
      </c>
      <c r="B9" s="847" t="s">
        <v>985</v>
      </c>
    </row>
    <row r="10" spans="1:7" ht="25.5">
      <c r="A10" s="848" t="s">
        <v>636</v>
      </c>
      <c r="B10" s="849" t="s">
        <v>1211</v>
      </c>
    </row>
    <row r="11" spans="1:7">
      <c r="B11" s="849" t="s">
        <v>239</v>
      </c>
    </row>
    <row r="12" spans="1:7" ht="25.5">
      <c r="A12" s="848" t="s">
        <v>636</v>
      </c>
      <c r="B12" s="849" t="s">
        <v>240</v>
      </c>
    </row>
    <row r="13" spans="1:7">
      <c r="B13" s="849" t="s">
        <v>241</v>
      </c>
    </row>
    <row r="14" spans="1:7" ht="25.5">
      <c r="A14" s="848" t="s">
        <v>636</v>
      </c>
      <c r="B14" s="849" t="s">
        <v>378</v>
      </c>
    </row>
    <row r="15" spans="1:7">
      <c r="B15" s="849" t="s">
        <v>379</v>
      </c>
    </row>
    <row r="16" spans="1:7">
      <c r="B16" s="849"/>
    </row>
    <row r="17" spans="1:13" ht="15.75">
      <c r="B17" s="850" t="s">
        <v>245</v>
      </c>
      <c r="C17" s="849"/>
    </row>
    <row r="18" spans="1:13" ht="25.5">
      <c r="A18" s="852" t="s">
        <v>636</v>
      </c>
      <c r="B18" s="849" t="s">
        <v>246</v>
      </c>
      <c r="C18" s="849"/>
    </row>
    <row r="19" spans="1:13">
      <c r="B19" s="853" t="s">
        <v>242</v>
      </c>
      <c r="C19" s="849" t="s">
        <v>247</v>
      </c>
    </row>
    <row r="20" spans="1:13">
      <c r="B20" s="853" t="s">
        <v>243</v>
      </c>
      <c r="C20" s="849" t="s">
        <v>248</v>
      </c>
    </row>
    <row r="21" spans="1:13">
      <c r="B21" s="851" t="str">
        <f>"(c" &amp; ")"</f>
        <v>(c)</v>
      </c>
      <c r="C21" s="849" t="s">
        <v>249</v>
      </c>
    </row>
    <row r="22" spans="1:13">
      <c r="B22" s="853" t="s">
        <v>244</v>
      </c>
      <c r="C22" s="849" t="s">
        <v>251</v>
      </c>
    </row>
    <row r="23" spans="1:13">
      <c r="B23" s="853" t="s">
        <v>252</v>
      </c>
      <c r="C23" s="849" t="s">
        <v>253</v>
      </c>
      <c r="M23" s="863" t="s">
        <v>254</v>
      </c>
    </row>
    <row r="24" spans="1:13" ht="24.95" customHeight="1">
      <c r="A24" s="852" t="s">
        <v>636</v>
      </c>
      <c r="B24" s="849" t="s">
        <v>255</v>
      </c>
      <c r="C24" s="849"/>
    </row>
    <row r="25" spans="1:13" ht="12.75" customHeight="1">
      <c r="A25" s="852"/>
      <c r="B25" s="853" t="s">
        <v>242</v>
      </c>
      <c r="C25" s="849" t="s">
        <v>256</v>
      </c>
    </row>
    <row r="26" spans="1:13" ht="12.75" customHeight="1">
      <c r="A26" s="852"/>
      <c r="B26" s="853" t="s">
        <v>243</v>
      </c>
      <c r="C26" s="849" t="s">
        <v>257</v>
      </c>
    </row>
    <row r="27" spans="1:13" ht="12.75" customHeight="1">
      <c r="A27" s="852"/>
      <c r="B27" s="851" t="str">
        <f>"(c" &amp; ")"</f>
        <v>(c)</v>
      </c>
      <c r="C27" s="849" t="s">
        <v>380</v>
      </c>
    </row>
    <row r="28" spans="1:13" ht="24.95" customHeight="1">
      <c r="A28" s="852" t="s">
        <v>636</v>
      </c>
      <c r="B28" s="849" t="s">
        <v>258</v>
      </c>
      <c r="C28" s="849"/>
    </row>
    <row r="29" spans="1:13" ht="24.95" customHeight="1">
      <c r="A29" s="852" t="s">
        <v>636</v>
      </c>
      <c r="B29" s="849" t="s">
        <v>259</v>
      </c>
      <c r="C29" s="849"/>
    </row>
    <row r="30" spans="1:13" ht="15" customHeight="1">
      <c r="A30" s="852"/>
      <c r="B30" s="849"/>
      <c r="C30" s="870" t="s">
        <v>281</v>
      </c>
      <c r="D30" s="861"/>
      <c r="E30" s="870" t="s">
        <v>282</v>
      </c>
      <c r="F30" s="861"/>
    </row>
    <row r="31" spans="1:13" ht="15" customHeight="1">
      <c r="A31" s="852"/>
      <c r="B31" s="849"/>
      <c r="C31" s="858"/>
      <c r="D31" s="861"/>
      <c r="E31" s="870"/>
      <c r="F31" s="861"/>
    </row>
    <row r="32" spans="1:13" s="843" customFormat="1" ht="15.75">
      <c r="A32" s="846" t="s">
        <v>260</v>
      </c>
      <c r="B32" s="847" t="s">
        <v>261</v>
      </c>
    </row>
    <row r="33" spans="1:6" ht="15" customHeight="1">
      <c r="A33" s="848" t="s">
        <v>636</v>
      </c>
      <c r="B33" s="849" t="s">
        <v>262</v>
      </c>
    </row>
    <row r="34" spans="1:6" ht="15" customHeight="1">
      <c r="A34" s="848"/>
      <c r="B34" s="849" t="s">
        <v>263</v>
      </c>
    </row>
    <row r="35" spans="1:6">
      <c r="B35" s="849"/>
      <c r="C35" s="870" t="s">
        <v>281</v>
      </c>
      <c r="D35" s="861"/>
      <c r="E35" s="870" t="s">
        <v>282</v>
      </c>
      <c r="F35" s="861"/>
    </row>
    <row r="36" spans="1:6">
      <c r="B36" s="849"/>
      <c r="C36" s="870"/>
      <c r="D36" s="861"/>
      <c r="E36" s="870"/>
      <c r="F36" s="861"/>
    </row>
    <row r="37" spans="1:6" s="843" customFormat="1" ht="15.75">
      <c r="A37" s="846" t="s">
        <v>264</v>
      </c>
      <c r="B37" s="847" t="s">
        <v>984</v>
      </c>
    </row>
    <row r="38" spans="1:6" ht="15" customHeight="1">
      <c r="A38" s="848" t="s">
        <v>636</v>
      </c>
      <c r="B38" s="849" t="s">
        <v>265</v>
      </c>
    </row>
    <row r="39" spans="1:6" ht="15" customHeight="1">
      <c r="A39" s="848"/>
      <c r="B39" s="849"/>
      <c r="C39" s="870" t="s">
        <v>281</v>
      </c>
      <c r="D39" s="861"/>
      <c r="E39" s="870" t="s">
        <v>282</v>
      </c>
      <c r="F39" s="861"/>
    </row>
    <row r="40" spans="1:6" ht="15" customHeight="1">
      <c r="A40" s="848"/>
      <c r="B40" s="849"/>
      <c r="C40" s="870"/>
      <c r="D40" s="861"/>
      <c r="E40" s="870"/>
      <c r="F40" s="861"/>
    </row>
    <row r="41" spans="1:6" s="843" customFormat="1" ht="15.75">
      <c r="A41" s="846" t="s">
        <v>266</v>
      </c>
      <c r="B41" s="847" t="s">
        <v>270</v>
      </c>
      <c r="F41" s="842"/>
    </row>
    <row r="42" spans="1:6" ht="15" customHeight="1">
      <c r="B42" s="842" t="s">
        <v>271</v>
      </c>
    </row>
    <row r="43" spans="1:6" ht="15" customHeight="1">
      <c r="B43" s="849"/>
      <c r="C43" s="870" t="s">
        <v>281</v>
      </c>
      <c r="D43" s="861"/>
      <c r="E43" s="870" t="s">
        <v>282</v>
      </c>
      <c r="F43" s="861"/>
    </row>
    <row r="44" spans="1:6" ht="15" customHeight="1">
      <c r="A44" s="848"/>
      <c r="B44" s="849"/>
    </row>
    <row r="45" spans="1:6" ht="15" customHeight="1">
      <c r="A45" s="848"/>
      <c r="B45" s="849"/>
    </row>
    <row r="46" spans="1:6" ht="15" customHeight="1">
      <c r="A46" s="848"/>
      <c r="B46" s="854"/>
    </row>
    <row r="47" spans="1:6" ht="15" customHeight="1">
      <c r="A47" s="848"/>
      <c r="B47" s="854"/>
    </row>
    <row r="48" spans="1:6" ht="15" customHeight="1">
      <c r="A48" s="848"/>
      <c r="B48" s="849"/>
    </row>
    <row r="49" spans="2:3">
      <c r="B49" s="849"/>
      <c r="C49" s="855"/>
    </row>
    <row r="61" spans="2:3" ht="12" customHeight="1"/>
    <row r="62" spans="2:3" ht="20.25" customHeight="1"/>
  </sheetData>
  <sheetProtection password="D405" objects="1" scenarios="1"/>
  <phoneticPr fontId="140" type="noConversion"/>
  <hyperlinks>
    <hyperlink ref="F2" location="faq1" display="File Size" xr:uid="{00000000-0004-0000-1200-000000000000}"/>
    <hyperlink ref="F5" location="technical_support" display="Technical Support" xr:uid="{00000000-0004-0000-1200-000001000000}"/>
    <hyperlink ref="F4" location="faq3" display="Version number" xr:uid="{00000000-0004-0000-1200-000002000000}"/>
    <hyperlink ref="F3" location="faq2" display="Error message" xr:uid="{00000000-0004-0000-1200-000003000000}"/>
    <hyperlink ref="C30" location="faqs" display="[Back to top]" xr:uid="{00000000-0004-0000-1200-000004000000}"/>
    <hyperlink ref="C35" location="faqs" display="[Back to top]" xr:uid="{00000000-0004-0000-1200-000005000000}"/>
    <hyperlink ref="E35" location="Introduction!A1" display="[Back to introduction]" xr:uid="{00000000-0004-0000-1200-000006000000}"/>
    <hyperlink ref="C39" location="faqs" display="[Back to top]" xr:uid="{00000000-0004-0000-1200-000007000000}"/>
    <hyperlink ref="E39" location="Introduction!A1" display="[Back to introduction]" xr:uid="{00000000-0004-0000-1200-000008000000}"/>
    <hyperlink ref="C43" location="faqs" display="[Back to top]" xr:uid="{00000000-0004-0000-1200-000009000000}"/>
    <hyperlink ref="E43" location="Introduction!A1" display="[Back to introduction]" xr:uid="{00000000-0004-0000-1200-00000A000000}"/>
    <hyperlink ref="E30" location="Introduction!A1" display="[Back to introduction]" xr:uid="{00000000-0004-0000-1200-00000B000000}"/>
  </hyperlinks>
  <printOptions horizontalCentered="1"/>
  <pageMargins left="0.74" right="0.17" top="0.45" bottom="0.75" header="0.25" footer="0.25"/>
  <pageSetup scale="88"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F408"/>
  <sheetViews>
    <sheetView showGridLines="0" workbookViewId="0"/>
  </sheetViews>
  <sheetFormatPr defaultRowHeight="15.75"/>
  <cols>
    <col min="1" max="1" width="9.33203125" style="856"/>
    <col min="2" max="10" width="9.33203125" style="842"/>
    <col min="11" max="11" width="9.6640625" style="842" customWidth="1"/>
    <col min="12" max="16384" width="9.33203125" style="842"/>
  </cols>
  <sheetData>
    <row r="1" spans="1:6" ht="23.25" customHeight="1">
      <c r="F1" s="1113" t="str">
        <f>"WHAT'S NEW IN ONESTOP2000?- VERSION " &amp; version_number</f>
        <v>WHAT'S NEW IN ONESTOP2000?- VERSION 1.21</v>
      </c>
    </row>
    <row r="2" spans="1:6" ht="15" customHeight="1">
      <c r="A2" s="857" t="s">
        <v>237</v>
      </c>
      <c r="B2" s="871" t="s">
        <v>272</v>
      </c>
      <c r="C2" s="843"/>
    </row>
    <row r="3" spans="1:6" ht="15" customHeight="1">
      <c r="A3" s="857" t="s">
        <v>260</v>
      </c>
      <c r="B3" s="871" t="s">
        <v>1105</v>
      </c>
      <c r="C3" s="843"/>
    </row>
    <row r="4" spans="1:6" ht="15" customHeight="1">
      <c r="A4" s="857" t="s">
        <v>264</v>
      </c>
      <c r="B4" s="871" t="s">
        <v>273</v>
      </c>
    </row>
    <row r="5" spans="1:6" ht="15" customHeight="1">
      <c r="A5" s="857" t="s">
        <v>266</v>
      </c>
      <c r="B5" s="871" t="s">
        <v>275</v>
      </c>
      <c r="C5" s="843"/>
    </row>
    <row r="6" spans="1:6" ht="15" customHeight="1">
      <c r="A6" s="857" t="s">
        <v>269</v>
      </c>
      <c r="B6" s="871" t="s">
        <v>276</v>
      </c>
      <c r="C6" s="843"/>
    </row>
    <row r="7" spans="1:6" ht="15" customHeight="1">
      <c r="A7" s="857" t="s">
        <v>278</v>
      </c>
      <c r="B7" s="871" t="s">
        <v>277</v>
      </c>
      <c r="C7" s="843"/>
    </row>
    <row r="8" spans="1:6" ht="15" customHeight="1">
      <c r="A8" s="857" t="s">
        <v>678</v>
      </c>
      <c r="B8" s="871" t="s">
        <v>679</v>
      </c>
    </row>
    <row r="9" spans="1:6" ht="15" customHeight="1">
      <c r="A9" s="857" t="s">
        <v>1103</v>
      </c>
      <c r="B9" s="871" t="s">
        <v>279</v>
      </c>
      <c r="C9" s="843"/>
    </row>
    <row r="10" spans="1:6" ht="15" customHeight="1">
      <c r="A10" s="857" t="s">
        <v>173</v>
      </c>
      <c r="B10" s="871" t="s">
        <v>174</v>
      </c>
      <c r="C10" s="843"/>
    </row>
    <row r="11" spans="1:6" ht="15" customHeight="1">
      <c r="C11" s="857"/>
      <c r="D11" s="858"/>
      <c r="E11" s="843"/>
    </row>
    <row r="12" spans="1:6" ht="15" customHeight="1">
      <c r="A12" s="859" t="s">
        <v>237</v>
      </c>
      <c r="B12" s="846" t="s">
        <v>272</v>
      </c>
      <c r="C12" s="843"/>
    </row>
    <row r="13" spans="1:6" ht="15" customHeight="1">
      <c r="A13" s="860" t="s">
        <v>636</v>
      </c>
      <c r="B13" s="842" t="s">
        <v>305</v>
      </c>
    </row>
    <row r="14" spans="1:6" ht="15" customHeight="1">
      <c r="A14" s="860" t="s">
        <v>636</v>
      </c>
      <c r="B14" s="842" t="s">
        <v>1106</v>
      </c>
    </row>
    <row r="15" spans="1:6" ht="15" customHeight="1">
      <c r="A15" s="860" t="s">
        <v>636</v>
      </c>
      <c r="B15" s="842" t="s">
        <v>304</v>
      </c>
    </row>
    <row r="16" spans="1:6" ht="15" customHeight="1">
      <c r="A16" s="860"/>
      <c r="B16" s="842" t="s">
        <v>280</v>
      </c>
    </row>
    <row r="17" spans="1:5" ht="15" customHeight="1">
      <c r="A17" s="860"/>
      <c r="B17" s="870" t="s">
        <v>281</v>
      </c>
      <c r="C17" s="861"/>
      <c r="D17" s="870" t="s">
        <v>282</v>
      </c>
      <c r="E17" s="861"/>
    </row>
    <row r="18" spans="1:5" ht="15" customHeight="1">
      <c r="A18" s="860"/>
      <c r="B18" s="870"/>
      <c r="C18" s="861"/>
      <c r="D18" s="870"/>
      <c r="E18" s="861"/>
    </row>
    <row r="19" spans="1:5" ht="15" customHeight="1">
      <c r="A19" s="859" t="s">
        <v>260</v>
      </c>
      <c r="B19" s="846" t="s">
        <v>1104</v>
      </c>
      <c r="C19" s="843"/>
    </row>
    <row r="20" spans="1:5" ht="15" customHeight="1">
      <c r="A20" s="860" t="s">
        <v>636</v>
      </c>
      <c r="B20" s="842" t="s">
        <v>175</v>
      </c>
    </row>
    <row r="21" spans="1:5" ht="15" customHeight="1">
      <c r="A21" s="860"/>
      <c r="B21" s="842" t="s">
        <v>176</v>
      </c>
    </row>
    <row r="22" spans="1:5" ht="15" customHeight="1">
      <c r="A22" s="860"/>
      <c r="B22" s="842" t="s">
        <v>178</v>
      </c>
    </row>
    <row r="23" spans="1:5" ht="15" customHeight="1">
      <c r="A23" s="860"/>
      <c r="B23" s="842" t="s">
        <v>179</v>
      </c>
    </row>
    <row r="24" spans="1:5" ht="15" customHeight="1">
      <c r="A24" s="860" t="s">
        <v>636</v>
      </c>
      <c r="B24" s="842" t="s">
        <v>177</v>
      </c>
    </row>
    <row r="25" spans="1:5" ht="15" customHeight="1">
      <c r="A25" s="860"/>
      <c r="B25" s="870" t="s">
        <v>281</v>
      </c>
      <c r="C25" s="861"/>
      <c r="D25" s="870" t="s">
        <v>282</v>
      </c>
      <c r="E25" s="861"/>
    </row>
    <row r="26" spans="1:5" ht="15" customHeight="1">
      <c r="A26" s="860"/>
      <c r="B26" s="870"/>
      <c r="C26" s="861"/>
      <c r="D26" s="870"/>
      <c r="E26" s="861"/>
    </row>
    <row r="27" spans="1:5" ht="15" customHeight="1">
      <c r="A27" s="859" t="s">
        <v>264</v>
      </c>
      <c r="B27" s="846" t="s">
        <v>273</v>
      </c>
    </row>
    <row r="28" spans="1:5" ht="15" customHeight="1">
      <c r="A28" s="860" t="s">
        <v>636</v>
      </c>
      <c r="B28" s="842" t="s">
        <v>283</v>
      </c>
    </row>
    <row r="29" spans="1:5" ht="15" customHeight="1">
      <c r="A29" s="860"/>
      <c r="B29" s="842" t="s">
        <v>284</v>
      </c>
    </row>
    <row r="30" spans="1:5" ht="15" customHeight="1">
      <c r="A30" s="860" t="s">
        <v>636</v>
      </c>
      <c r="B30" s="842" t="s">
        <v>285</v>
      </c>
    </row>
    <row r="31" spans="1:5" ht="15" customHeight="1">
      <c r="A31" s="860" t="s">
        <v>636</v>
      </c>
      <c r="B31" s="842" t="s">
        <v>286</v>
      </c>
    </row>
    <row r="32" spans="1:5" ht="15" customHeight="1">
      <c r="A32" s="860" t="s">
        <v>636</v>
      </c>
      <c r="B32" s="842" t="s">
        <v>287</v>
      </c>
    </row>
    <row r="33" spans="1:5" ht="15" customHeight="1">
      <c r="A33" s="860" t="s">
        <v>636</v>
      </c>
      <c r="B33" s="842" t="s">
        <v>306</v>
      </c>
    </row>
    <row r="34" spans="1:5" ht="15" customHeight="1">
      <c r="B34" s="842" t="s">
        <v>288</v>
      </c>
    </row>
    <row r="35" spans="1:5" ht="15" customHeight="1">
      <c r="A35" s="860"/>
      <c r="B35" s="870" t="s">
        <v>281</v>
      </c>
      <c r="C35" s="861"/>
      <c r="D35" s="870" t="s">
        <v>282</v>
      </c>
      <c r="E35" s="861"/>
    </row>
    <row r="36" spans="1:5" ht="15" customHeight="1">
      <c r="A36" s="860"/>
      <c r="B36" s="870"/>
      <c r="C36" s="861"/>
      <c r="D36" s="870"/>
      <c r="E36" s="861"/>
    </row>
    <row r="37" spans="1:5" ht="15" customHeight="1">
      <c r="A37" s="859" t="s">
        <v>266</v>
      </c>
      <c r="B37" s="846" t="s">
        <v>275</v>
      </c>
      <c r="C37" s="843"/>
    </row>
    <row r="38" spans="1:5" ht="15" customHeight="1">
      <c r="A38" s="860" t="s">
        <v>636</v>
      </c>
      <c r="B38" s="842" t="s">
        <v>289</v>
      </c>
    </row>
    <row r="39" spans="1:5" ht="15" customHeight="1">
      <c r="B39" s="842" t="s">
        <v>307</v>
      </c>
    </row>
    <row r="40" spans="1:5" ht="15" customHeight="1">
      <c r="B40" s="842" t="s">
        <v>290</v>
      </c>
    </row>
    <row r="41" spans="1:5" ht="15" customHeight="1">
      <c r="A41" s="860" t="s">
        <v>636</v>
      </c>
      <c r="B41" s="842" t="s">
        <v>308</v>
      </c>
    </row>
    <row r="42" spans="1:5" ht="15" customHeight="1">
      <c r="A42" s="860" t="s">
        <v>636</v>
      </c>
      <c r="B42" s="842" t="s">
        <v>291</v>
      </c>
    </row>
    <row r="43" spans="1:5" ht="15" customHeight="1">
      <c r="B43" s="842" t="s">
        <v>292</v>
      </c>
    </row>
    <row r="44" spans="1:5" ht="15" customHeight="1">
      <c r="B44" s="842" t="s">
        <v>309</v>
      </c>
    </row>
    <row r="45" spans="1:5" ht="15" customHeight="1">
      <c r="A45" s="860" t="s">
        <v>636</v>
      </c>
      <c r="B45" s="842" t="s">
        <v>293</v>
      </c>
    </row>
    <row r="46" spans="1:5" ht="15" customHeight="1">
      <c r="B46" s="842" t="s">
        <v>294</v>
      </c>
    </row>
    <row r="47" spans="1:5" ht="15" customHeight="1">
      <c r="A47" s="860" t="s">
        <v>636</v>
      </c>
      <c r="B47" s="855" t="s">
        <v>295</v>
      </c>
    </row>
    <row r="48" spans="1:5" ht="15" customHeight="1">
      <c r="A48" s="860"/>
      <c r="B48" s="870" t="s">
        <v>281</v>
      </c>
      <c r="C48" s="861"/>
      <c r="D48" s="870" t="s">
        <v>282</v>
      </c>
      <c r="E48" s="870"/>
    </row>
    <row r="49" spans="1:5" ht="15" customHeight="1">
      <c r="A49" s="860"/>
      <c r="B49" s="870"/>
      <c r="C49" s="861"/>
      <c r="D49" s="870"/>
      <c r="E49" s="870"/>
    </row>
    <row r="50" spans="1:5" ht="15" customHeight="1">
      <c r="A50" s="859" t="s">
        <v>269</v>
      </c>
      <c r="B50" s="846" t="s">
        <v>276</v>
      </c>
      <c r="C50" s="843"/>
    </row>
    <row r="51" spans="1:5" ht="15" customHeight="1">
      <c r="A51" s="860" t="s">
        <v>636</v>
      </c>
      <c r="B51" s="842" t="s">
        <v>310</v>
      </c>
    </row>
    <row r="52" spans="1:5" ht="15" customHeight="1">
      <c r="B52" s="842" t="s">
        <v>296</v>
      </c>
    </row>
    <row r="53" spans="1:5" ht="15" customHeight="1">
      <c r="A53" s="860"/>
      <c r="B53" s="842" t="s">
        <v>297</v>
      </c>
    </row>
    <row r="54" spans="1:5" ht="15" customHeight="1">
      <c r="B54" s="842" t="s">
        <v>298</v>
      </c>
    </row>
    <row r="55" spans="1:5" ht="15" customHeight="1">
      <c r="A55" s="860" t="s">
        <v>636</v>
      </c>
      <c r="B55" s="842" t="s">
        <v>299</v>
      </c>
    </row>
    <row r="56" spans="1:5" ht="15" customHeight="1">
      <c r="B56" s="842" t="s">
        <v>300</v>
      </c>
    </row>
    <row r="57" spans="1:5" ht="15" customHeight="1">
      <c r="B57" s="842" t="s">
        <v>301</v>
      </c>
    </row>
    <row r="58" spans="1:5" ht="15" customHeight="1">
      <c r="A58" s="860"/>
      <c r="B58" s="870" t="s">
        <v>281</v>
      </c>
      <c r="C58" s="861"/>
      <c r="D58" s="870" t="s">
        <v>282</v>
      </c>
      <c r="E58" s="861"/>
    </row>
    <row r="59" spans="1:5" ht="15" customHeight="1">
      <c r="A59" s="860"/>
      <c r="B59" s="870"/>
      <c r="C59" s="861"/>
      <c r="D59" s="870"/>
      <c r="E59" s="861"/>
    </row>
    <row r="60" spans="1:5" ht="15" customHeight="1">
      <c r="A60" s="859" t="s">
        <v>278</v>
      </c>
      <c r="B60" s="846" t="s">
        <v>277</v>
      </c>
      <c r="C60" s="843"/>
    </row>
    <row r="61" spans="1:5" ht="15" customHeight="1">
      <c r="A61" s="860" t="s">
        <v>636</v>
      </c>
      <c r="B61" s="842" t="s">
        <v>316</v>
      </c>
    </row>
    <row r="62" spans="1:5" ht="15" customHeight="1">
      <c r="B62" s="842" t="s">
        <v>317</v>
      </c>
    </row>
    <row r="63" spans="1:5" ht="15" customHeight="1">
      <c r="A63" s="860"/>
      <c r="B63" s="870" t="s">
        <v>281</v>
      </c>
      <c r="C63" s="861"/>
      <c r="D63" s="870" t="s">
        <v>282</v>
      </c>
      <c r="E63" s="861"/>
    </row>
    <row r="64" spans="1:5" ht="15" customHeight="1">
      <c r="A64" s="860"/>
      <c r="B64" s="870"/>
      <c r="C64" s="861"/>
      <c r="D64" s="870"/>
      <c r="E64" s="861"/>
    </row>
    <row r="65" spans="1:5" ht="15" customHeight="1">
      <c r="A65" s="859" t="s">
        <v>678</v>
      </c>
      <c r="B65" s="846" t="s">
        <v>679</v>
      </c>
      <c r="C65" s="861"/>
      <c r="D65" s="255"/>
      <c r="E65" s="861"/>
    </row>
    <row r="66" spans="1:5" ht="15" customHeight="1">
      <c r="A66" s="860" t="s">
        <v>636</v>
      </c>
      <c r="B66" s="842" t="s">
        <v>318</v>
      </c>
    </row>
    <row r="67" spans="1:5" ht="15" customHeight="1">
      <c r="A67" s="860" t="s">
        <v>636</v>
      </c>
      <c r="B67" s="842" t="s">
        <v>319</v>
      </c>
    </row>
    <row r="68" spans="1:5" ht="15" customHeight="1">
      <c r="A68" s="860"/>
      <c r="B68" s="870" t="s">
        <v>281</v>
      </c>
      <c r="C68" s="861"/>
      <c r="D68" s="870" t="s">
        <v>282</v>
      </c>
      <c r="E68" s="861"/>
    </row>
    <row r="69" spans="1:5" ht="15" customHeight="1">
      <c r="A69" s="860"/>
      <c r="B69" s="870"/>
      <c r="C69" s="861"/>
      <c r="D69" s="870"/>
      <c r="E69" s="861"/>
    </row>
    <row r="70" spans="1:5" ht="15" customHeight="1">
      <c r="A70" s="859" t="s">
        <v>1103</v>
      </c>
      <c r="B70" s="862" t="s">
        <v>279</v>
      </c>
      <c r="C70" s="861"/>
      <c r="D70" s="255"/>
    </row>
    <row r="71" spans="1:5" ht="15" customHeight="1">
      <c r="A71" s="860" t="s">
        <v>636</v>
      </c>
      <c r="B71" s="842" t="s">
        <v>302</v>
      </c>
    </row>
    <row r="72" spans="1:5" ht="15" customHeight="1">
      <c r="A72" s="860"/>
      <c r="B72" s="842" t="s">
        <v>680</v>
      </c>
    </row>
    <row r="73" spans="1:5" ht="15" customHeight="1">
      <c r="A73" s="860" t="s">
        <v>636</v>
      </c>
      <c r="B73" s="842" t="s">
        <v>303</v>
      </c>
    </row>
    <row r="74" spans="1:5" ht="15" customHeight="1">
      <c r="A74" s="860"/>
      <c r="B74" s="870" t="s">
        <v>281</v>
      </c>
      <c r="C74" s="861"/>
      <c r="D74" s="870" t="s">
        <v>282</v>
      </c>
      <c r="E74" s="861"/>
    </row>
    <row r="75" spans="1:5" ht="15" customHeight="1"/>
    <row r="76" spans="1:5" ht="15" customHeight="1">
      <c r="A76" s="859" t="s">
        <v>173</v>
      </c>
      <c r="B76" s="862" t="s">
        <v>174</v>
      </c>
      <c r="C76" s="861"/>
    </row>
    <row r="77" spans="1:5" ht="15" customHeight="1">
      <c r="A77" s="860" t="s">
        <v>636</v>
      </c>
      <c r="B77" s="842" t="s">
        <v>183</v>
      </c>
    </row>
    <row r="78" spans="1:5" ht="15" customHeight="1">
      <c r="B78" s="842" t="s">
        <v>184</v>
      </c>
    </row>
    <row r="79" spans="1:5" ht="15" customHeight="1">
      <c r="A79" s="860" t="s">
        <v>636</v>
      </c>
      <c r="B79" s="842" t="s">
        <v>313</v>
      </c>
    </row>
    <row r="80" spans="1:5" ht="15" customHeight="1">
      <c r="B80" s="842" t="s">
        <v>185</v>
      </c>
    </row>
    <row r="81" spans="2:5" ht="15" customHeight="1">
      <c r="B81" s="870" t="s">
        <v>281</v>
      </c>
      <c r="C81" s="861"/>
      <c r="D81" s="870" t="s">
        <v>282</v>
      </c>
      <c r="E81" s="861"/>
    </row>
    <row r="82" spans="2:5" ht="15" customHeight="1"/>
    <row r="83" spans="2:5" ht="15" customHeight="1"/>
    <row r="84" spans="2:5" ht="15" customHeight="1"/>
    <row r="85" spans="2:5" ht="15" customHeight="1"/>
    <row r="86" spans="2:5" ht="15" customHeight="1"/>
    <row r="87" spans="2:5" ht="15" customHeight="1"/>
    <row r="88" spans="2:5" ht="15" customHeight="1"/>
    <row r="89" spans="2:5" ht="15" customHeight="1"/>
    <row r="90" spans="2:5" ht="15" customHeight="1"/>
    <row r="91" spans="2:5" ht="15" customHeight="1"/>
    <row r="92" spans="2:5" ht="15" customHeight="1"/>
    <row r="93" spans="2:5" ht="15" customHeight="1"/>
    <row r="94" spans="2:5" ht="15" customHeight="1"/>
    <row r="95" spans="2:5" ht="15" customHeight="1"/>
    <row r="96" spans="2:5"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sheetData>
  <sheetProtection password="D405" objects="1" scenarios="1"/>
  <phoneticPr fontId="140" type="noConversion"/>
  <hyperlinks>
    <hyperlink ref="B2" location="what1" display="Cell comments" xr:uid="{00000000-0004-0000-1300-000000000000}"/>
    <hyperlink ref="B17" location="'What''s New'!D1" display="[Back to top]" xr:uid="{00000000-0004-0000-1300-000001000000}"/>
    <hyperlink ref="D17" location="Introduction!A1" display="[Back to introduction]" xr:uid="{00000000-0004-0000-1300-000002000000}"/>
    <hyperlink ref="B35" location="'What''s New'!D1" display="[Back to top]" xr:uid="{00000000-0004-0000-1300-000003000000}"/>
    <hyperlink ref="D35" location="Introduction!A1" display="[Back to introduction]" xr:uid="{00000000-0004-0000-1300-000004000000}"/>
    <hyperlink ref="B48" location="'What''s New'!D1" display="[Back to top]" xr:uid="{00000000-0004-0000-1300-000005000000}"/>
    <hyperlink ref="D48" location="Introduction!A1" display="[Back to introduction]" xr:uid="{00000000-0004-0000-1300-000006000000}"/>
    <hyperlink ref="B58" location="'What''s New'!D1" display="[Back to top]" xr:uid="{00000000-0004-0000-1300-000007000000}"/>
    <hyperlink ref="D58" location="Introduction!A1" display="[Back to introduction]" xr:uid="{00000000-0004-0000-1300-000008000000}"/>
    <hyperlink ref="B63" location="'What''s New'!D1" display="[Back to top]" xr:uid="{00000000-0004-0000-1300-000009000000}"/>
    <hyperlink ref="D63" location="Introduction!A1" display="[Back to introduction]" xr:uid="{00000000-0004-0000-1300-00000A000000}"/>
    <hyperlink ref="B74" location="'What''s New'!D1" display="[Back to top]" xr:uid="{00000000-0004-0000-1300-00000B000000}"/>
    <hyperlink ref="D74" location="Introduction!A1" display="[Back to introduction]" xr:uid="{00000000-0004-0000-1300-00000C000000}"/>
    <hyperlink ref="B4" location="what3" display="Printing options" xr:uid="{00000000-0004-0000-1300-00000D000000}"/>
    <hyperlink ref="B5" location="what4" display="Updating web information" xr:uid="{00000000-0004-0000-1300-00000E000000}"/>
    <hyperlink ref="B6" location="what5" display="Revision date for the OneStop application" xr:uid="{00000000-0004-0000-1300-00000F000000}"/>
    <hyperlink ref="B7" location="what6" display="Optional User Comments" xr:uid="{00000000-0004-0000-1300-000010000000}"/>
    <hyperlink ref="B9" location="what8" display="Lists' page" xr:uid="{00000000-0004-0000-1300-000011000000}"/>
    <hyperlink ref="B8" location="what7" display="Optional User Calculations" xr:uid="{00000000-0004-0000-1300-000012000000}"/>
    <hyperlink ref="B68" location="'What''s New'!D1" display="[Back to top]" xr:uid="{00000000-0004-0000-1300-000013000000}"/>
    <hyperlink ref="D68" location="Introduction!A1" display="[Back to introduction]" xr:uid="{00000000-0004-0000-1300-000014000000}"/>
    <hyperlink ref="B3" location="what2" display="Cell colors" xr:uid="{00000000-0004-0000-1300-000015000000}"/>
    <hyperlink ref="B25" location="'What''s New'!D1" display="[Back to top]" xr:uid="{00000000-0004-0000-1300-000016000000}"/>
    <hyperlink ref="D25" location="Introduction!A1" display="[Back to introduction]" xr:uid="{00000000-0004-0000-1300-000017000000}"/>
    <hyperlink ref="B81" location="'What''s New'!D1" display="[Back to top]" xr:uid="{00000000-0004-0000-1300-000018000000}"/>
    <hyperlink ref="D81" location="Introduction!A1" display="[Back to introduction]" xr:uid="{00000000-0004-0000-1300-000019000000}"/>
    <hyperlink ref="B10" location="what9" display="List of exhibits" xr:uid="{00000000-0004-0000-1300-00001A000000}"/>
  </hyperlinks>
  <pageMargins left="0.37" right="0.28000000000000003" top="0.68" bottom="0.79" header="0.28000000000000003" footer="0.19"/>
  <pageSetup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K50"/>
  <sheetViews>
    <sheetView showGridLines="0" workbookViewId="0"/>
  </sheetViews>
  <sheetFormatPr defaultRowHeight="15.75"/>
  <cols>
    <col min="1" max="1" width="11.83203125" style="895" bestFit="1" customWidth="1"/>
    <col min="2" max="2" width="9.33203125" style="885"/>
    <col min="3" max="16384" width="9.33203125" style="294"/>
  </cols>
  <sheetData>
    <row r="1" spans="1:11" ht="19.5" thickBot="1">
      <c r="A1" s="884" t="s">
        <v>1459</v>
      </c>
    </row>
    <row r="2" spans="1:11" ht="16.5" thickTop="1">
      <c r="A2" s="886" t="str">
        <f>IF(DHCD="Yes","DHCD Tax Credit Allocation","")</f>
        <v/>
      </c>
      <c r="B2" s="887"/>
      <c r="C2" s="888"/>
      <c r="D2" s="888"/>
      <c r="E2" s="888"/>
      <c r="F2" s="888"/>
      <c r="G2" s="888"/>
      <c r="H2" s="888"/>
      <c r="I2" s="888"/>
      <c r="J2" s="888"/>
      <c r="K2" s="889"/>
    </row>
    <row r="3" spans="1:11">
      <c r="A3" s="890" t="str">
        <f>IF(DHCDHome="Yes","DHCD Home Funding","")</f>
        <v/>
      </c>
      <c r="C3" s="781"/>
      <c r="D3" s="781"/>
      <c r="E3" s="781"/>
      <c r="F3" s="781"/>
      <c r="G3" s="781"/>
      <c r="H3" s="781"/>
      <c r="I3" s="781"/>
      <c r="J3" s="103"/>
      <c r="K3" s="891"/>
    </row>
    <row r="4" spans="1:11">
      <c r="A4" s="890" t="str">
        <f>IF(official_action="Yes","Massachusetts Housing Finance Agency- Official Action Status","")</f>
        <v/>
      </c>
      <c r="C4" s="781"/>
      <c r="D4" s="781"/>
      <c r="E4" s="781"/>
      <c r="F4" s="781"/>
      <c r="G4" s="781"/>
      <c r="H4" s="781"/>
      <c r="I4" s="781"/>
      <c r="J4" s="103"/>
      <c r="K4" s="891"/>
    </row>
    <row r="5" spans="1:11">
      <c r="A5" s="890" t="str">
        <f>IF(mortagage_funding="Yes","Massachusetts Housing Finance Agency - Construction/ Permanent Financing","")</f>
        <v/>
      </c>
      <c r="C5" s="781"/>
      <c r="D5" s="781"/>
      <c r="E5" s="781"/>
      <c r="F5" s="781"/>
      <c r="G5" s="781"/>
      <c r="H5" s="781"/>
      <c r="I5" s="781"/>
      <c r="J5" s="103"/>
      <c r="K5" s="891"/>
    </row>
    <row r="6" spans="1:11">
      <c r="A6" s="890" t="str">
        <f>IF(permanent_rental="Yes","Massachusetts Housing Partnership (MHP) Fund","")</f>
        <v/>
      </c>
      <c r="C6" s="781"/>
      <c r="D6" s="781"/>
      <c r="E6" s="781"/>
      <c r="F6" s="781"/>
      <c r="G6" s="781"/>
      <c r="H6" s="781"/>
      <c r="I6" s="781"/>
      <c r="J6" s="103"/>
      <c r="K6" s="891"/>
    </row>
    <row r="7" spans="1:11">
      <c r="A7" s="890" t="str">
        <f>IF(Debt_financing="Yes","Massachusetts Housing Investment Corporation- Debt Financing","")</f>
        <v/>
      </c>
      <c r="C7" s="781"/>
      <c r="D7" s="781"/>
      <c r="E7" s="781"/>
      <c r="F7" s="781"/>
      <c r="G7" s="781"/>
      <c r="H7" s="781"/>
      <c r="I7" s="781"/>
      <c r="J7" s="103"/>
      <c r="K7" s="891"/>
    </row>
    <row r="8" spans="1:11">
      <c r="A8" s="890" t="str">
        <f>IF(tax_credit="Yes","Massachusetts Housing Investment Corporation- Tax Credit Equity Investment","")</f>
        <v/>
      </c>
      <c r="C8" s="781"/>
      <c r="D8" s="781"/>
      <c r="E8" s="781"/>
      <c r="F8" s="781"/>
      <c r="G8" s="781"/>
      <c r="H8" s="781"/>
      <c r="I8" s="781"/>
      <c r="J8" s="103"/>
      <c r="K8" s="891"/>
    </row>
    <row r="9" spans="1:11">
      <c r="A9" s="890" t="str">
        <f>IF(DND="Yes","Boston Department of Neighbourhood Development (DND)","")</f>
        <v/>
      </c>
      <c r="C9" s="781"/>
      <c r="D9" s="781"/>
      <c r="E9" s="781"/>
      <c r="F9" s="781"/>
      <c r="G9" s="781"/>
      <c r="H9" s="781"/>
      <c r="I9" s="781"/>
      <c r="J9" s="103"/>
      <c r="K9" s="891"/>
    </row>
    <row r="10" spans="1:11">
      <c r="A10" s="890" t="str">
        <f>IF(Other_fund="Yes","Other Fund","")</f>
        <v/>
      </c>
      <c r="C10" s="781"/>
      <c r="D10" s="781"/>
      <c r="E10" s="781"/>
      <c r="F10" s="781"/>
      <c r="G10" s="781"/>
      <c r="H10" s="781"/>
      <c r="I10" s="781"/>
      <c r="J10" s="103"/>
      <c r="K10" s="891"/>
    </row>
    <row r="11" spans="1:11" ht="16.5" thickBot="1">
      <c r="A11" s="892"/>
      <c r="B11" s="893"/>
      <c r="C11" s="893"/>
      <c r="D11" s="893"/>
      <c r="E11" s="893"/>
      <c r="F11" s="893"/>
      <c r="G11" s="893"/>
      <c r="H11" s="893"/>
      <c r="I11" s="893"/>
      <c r="J11" s="893"/>
      <c r="K11" s="894"/>
    </row>
    <row r="12" spans="1:11" ht="16.5" thickTop="1"/>
    <row r="13" spans="1:11" ht="19.5" thickBot="1">
      <c r="A13" s="884" t="s">
        <v>1460</v>
      </c>
    </row>
    <row r="14" spans="1:11" ht="16.5" thickTop="1">
      <c r="A14" s="886" t="str">
        <f>'6. Exhibits'!C7</f>
        <v>Exhibit 1.  Site Information:</v>
      </c>
      <c r="B14" s="888"/>
      <c r="C14" s="888"/>
      <c r="D14" s="888"/>
      <c r="E14" s="888"/>
      <c r="F14" s="888"/>
      <c r="G14" s="888"/>
      <c r="H14" s="896" t="str">
        <f>'6. Exhibits'!K7</f>
        <v>Required exhibit.</v>
      </c>
      <c r="I14" s="888"/>
      <c r="J14" s="888"/>
      <c r="K14" s="889"/>
    </row>
    <row r="15" spans="1:11">
      <c r="A15" s="890" t="str">
        <f>'6. Exhibits'!C13</f>
        <v>Exhibit 2.  Environmental Information:</v>
      </c>
      <c r="B15" s="781"/>
      <c r="C15" s="781"/>
      <c r="D15" s="781"/>
      <c r="E15" s="781"/>
      <c r="F15" s="781"/>
      <c r="H15" s="897" t="str">
        <f>'6. Exhibits'!K13</f>
        <v>Required exhibit.</v>
      </c>
      <c r="I15" s="781"/>
      <c r="J15" s="781"/>
      <c r="K15" s="891"/>
    </row>
    <row r="16" spans="1:11">
      <c r="A16" s="890" t="str">
        <f>'6. Exhibits'!C26</f>
        <v>Exhibit 3.  Evidence of Zoning</v>
      </c>
      <c r="B16" s="781"/>
      <c r="C16" s="781"/>
      <c r="D16" s="781"/>
      <c r="E16" s="781"/>
      <c r="F16" s="781"/>
      <c r="H16" s="897" t="str">
        <f>'6. Exhibits'!K26</f>
        <v/>
      </c>
      <c r="I16" s="781"/>
      <c r="J16" s="781"/>
      <c r="K16" s="891"/>
    </row>
    <row r="17" spans="1:11">
      <c r="A17" s="890" t="str">
        <f>'6. Exhibits'!C28</f>
        <v xml:space="preserve">Exhibit 4.  Evidence of Site Control </v>
      </c>
      <c r="B17" s="781"/>
      <c r="C17" s="781"/>
      <c r="D17" s="781"/>
      <c r="E17" s="781"/>
      <c r="F17" s="781"/>
      <c r="H17" s="897" t="str">
        <f>'6. Exhibits'!K28</f>
        <v>Required exhibit.</v>
      </c>
      <c r="I17" s="781"/>
      <c r="J17" s="781"/>
      <c r="K17" s="891"/>
    </row>
    <row r="18" spans="1:11">
      <c r="A18" s="890" t="str">
        <f>'6. Exhibits'!C30</f>
        <v xml:space="preserve">Exhibit 5.  Evidence of Local Support </v>
      </c>
      <c r="B18" s="781"/>
      <c r="C18" s="781"/>
      <c r="D18" s="781"/>
      <c r="E18" s="781"/>
      <c r="F18" s="781"/>
      <c r="H18" s="897" t="str">
        <f>'6. Exhibits'!K30</f>
        <v/>
      </c>
      <c r="I18" s="781"/>
      <c r="J18" s="781"/>
      <c r="K18" s="891"/>
    </row>
    <row r="19" spans="1:11">
      <c r="A19" s="890" t="str">
        <f>'6. Exhibits'!C32</f>
        <v>Exhibit 6.  Market Information and Acquisition Value</v>
      </c>
      <c r="B19" s="781"/>
      <c r="C19" s="781"/>
      <c r="D19" s="781"/>
      <c r="E19" s="781"/>
      <c r="F19" s="781"/>
      <c r="H19" s="897" t="str">
        <f>'6. Exhibits'!K32</f>
        <v/>
      </c>
      <c r="I19" s="781"/>
      <c r="J19" s="781"/>
      <c r="K19" s="891"/>
    </row>
    <row r="20" spans="1:11">
      <c r="A20" s="890" t="str">
        <f>'6. Exhibits'!C34</f>
        <v>Exhibit 7.  Marketing Plan</v>
      </c>
      <c r="B20" s="781"/>
      <c r="C20" s="781"/>
      <c r="D20" s="781"/>
      <c r="E20" s="781"/>
      <c r="F20" s="781"/>
      <c r="H20" s="897" t="str">
        <f>'6. Exhibits'!K34</f>
        <v/>
      </c>
      <c r="I20" s="781"/>
      <c r="J20" s="781"/>
      <c r="K20" s="891"/>
    </row>
    <row r="21" spans="1:11">
      <c r="A21" s="890" t="str">
        <f>'6. Exhibits'!C36</f>
        <v>Exhibit 8.  Affirmative Fair Marketing Plan</v>
      </c>
      <c r="B21" s="781"/>
      <c r="C21" s="781"/>
      <c r="D21" s="781"/>
      <c r="E21" s="781"/>
      <c r="F21" s="781"/>
      <c r="H21" s="897" t="str">
        <f>'6. Exhibits'!K36</f>
        <v/>
      </c>
      <c r="I21" s="781"/>
      <c r="J21" s="781"/>
      <c r="K21" s="891"/>
    </row>
    <row r="22" spans="1:11">
      <c r="A22" s="890" t="str">
        <f>'6. Exhibits'!C38</f>
        <v>Exhibit 9.  Equal Opportunity Questionnaire</v>
      </c>
      <c r="B22" s="781"/>
      <c r="C22" s="781"/>
      <c r="D22" s="781"/>
      <c r="E22" s="781"/>
      <c r="F22" s="781"/>
      <c r="H22" s="897" t="str">
        <f>'6. Exhibits'!K38</f>
        <v/>
      </c>
      <c r="I22" s="781"/>
      <c r="J22" s="781"/>
      <c r="K22" s="891"/>
    </row>
    <row r="23" spans="1:11">
      <c r="A23" s="890" t="str">
        <f>'6. Exhibits'!C40</f>
        <v>Exhibit 10.  Sales Prices and Affordability</v>
      </c>
      <c r="B23" s="781"/>
      <c r="C23" s="781"/>
      <c r="D23" s="781"/>
      <c r="E23" s="781"/>
      <c r="F23" s="781"/>
      <c r="H23" s="897" t="str">
        <f>'6. Exhibits'!K40</f>
        <v/>
      </c>
      <c r="I23" s="781"/>
      <c r="J23" s="781"/>
      <c r="K23" s="891"/>
    </row>
    <row r="24" spans="1:11">
      <c r="A24" s="890" t="str">
        <f>'6. Exhibits'!C42</f>
        <v>Exhibit 11.  Construction Period Sources and Uses</v>
      </c>
      <c r="B24" s="781"/>
      <c r="C24" s="781"/>
      <c r="D24" s="781"/>
      <c r="E24" s="781"/>
      <c r="F24" s="781"/>
      <c r="H24" s="897" t="str">
        <f>'6. Exhibits'!K42</f>
        <v/>
      </c>
      <c r="I24" s="781"/>
      <c r="J24" s="781"/>
      <c r="K24" s="891"/>
    </row>
    <row r="25" spans="1:11">
      <c r="A25" s="890" t="str">
        <f>'6. Exhibits'!C44</f>
        <v>Exhibit 12.  Tax-Exempt Project Information</v>
      </c>
      <c r="B25" s="781"/>
      <c r="C25" s="781"/>
      <c r="D25" s="781"/>
      <c r="E25" s="781"/>
      <c r="F25" s="781"/>
      <c r="H25" s="897" t="str">
        <f>'6. Exhibits'!K44</f>
        <v/>
      </c>
      <c r="I25" s="781"/>
      <c r="J25" s="781"/>
      <c r="K25" s="891"/>
    </row>
    <row r="26" spans="1:11">
      <c r="A26" s="890" t="str">
        <f>'6. Exhibits'!C46</f>
        <v>Exhibit 13.  Relocation Plan</v>
      </c>
      <c r="B26" s="781"/>
      <c r="C26" s="781"/>
      <c r="D26" s="781"/>
      <c r="E26" s="781"/>
      <c r="F26" s="781"/>
      <c r="H26" s="897" t="str">
        <f>'6. Exhibits'!K46</f>
        <v/>
      </c>
      <c r="I26" s="781"/>
      <c r="J26" s="781"/>
      <c r="K26" s="891"/>
    </row>
    <row r="27" spans="1:11">
      <c r="A27" s="890" t="str">
        <f>'6. Exhibits'!C48</f>
        <v xml:space="preserve">Exhibit 14.  Special Needs Service Plan </v>
      </c>
      <c r="B27" s="781"/>
      <c r="C27" s="781"/>
      <c r="D27" s="781"/>
      <c r="E27" s="781"/>
      <c r="F27" s="781"/>
      <c r="H27" s="897" t="str">
        <f>'6. Exhibits'!K48</f>
        <v/>
      </c>
      <c r="I27" s="781"/>
      <c r="J27" s="781"/>
      <c r="K27" s="891"/>
    </row>
    <row r="28" spans="1:11">
      <c r="A28" s="890" t="str">
        <f>'6. Exhibits'!C50</f>
        <v>Exhibit 15.  Required Tax Credit Certifications</v>
      </c>
      <c r="B28" s="781"/>
      <c r="C28" s="781"/>
      <c r="D28" s="781"/>
      <c r="E28" s="781"/>
      <c r="F28" s="781"/>
      <c r="H28" s="897" t="str">
        <f>'6. Exhibits'!K50</f>
        <v/>
      </c>
      <c r="I28" s="781"/>
      <c r="J28" s="781"/>
      <c r="K28" s="891"/>
    </row>
    <row r="29" spans="1:11">
      <c r="A29" s="890" t="str">
        <f>'6. Exhibits'!C52</f>
        <v>Exhibit 16.  Preliminary Plans and Specifications</v>
      </c>
      <c r="B29" s="781"/>
      <c r="C29" s="781"/>
      <c r="D29" s="781"/>
      <c r="E29" s="781"/>
      <c r="F29" s="781"/>
      <c r="H29" s="897" t="str">
        <f>'6. Exhibits'!K52</f>
        <v/>
      </c>
      <c r="I29" s="781"/>
      <c r="J29" s="781"/>
      <c r="K29" s="891"/>
    </row>
    <row r="30" spans="1:11">
      <c r="A30" s="890" t="str">
        <f>'6. Exhibits'!C54</f>
        <v>Exhibit 16A.  Accessiblity Information</v>
      </c>
      <c r="B30" s="781"/>
      <c r="C30" s="781"/>
      <c r="D30" s="781"/>
      <c r="E30" s="781"/>
      <c r="F30" s="781"/>
      <c r="H30" s="897" t="str">
        <f>'6. Exhibits'!K54</f>
        <v/>
      </c>
      <c r="I30" s="781"/>
      <c r="J30" s="781"/>
      <c r="K30" s="891"/>
    </row>
    <row r="31" spans="1:11">
      <c r="A31" s="890" t="str">
        <f>'6. Exhibits'!C56</f>
        <v>Exhibit 17.  Commitment Drawings and Specifications</v>
      </c>
      <c r="B31" s="781"/>
      <c r="C31" s="781"/>
      <c r="D31" s="781"/>
      <c r="E31" s="781"/>
      <c r="F31" s="781"/>
      <c r="H31" s="897" t="str">
        <f>'6. Exhibits'!K56</f>
        <v/>
      </c>
      <c r="I31" s="781"/>
      <c r="J31" s="781"/>
      <c r="K31" s="891"/>
    </row>
    <row r="32" spans="1:11">
      <c r="A32" s="890" t="str">
        <f>'6. Exhibits'!C58</f>
        <v>Exhibit 18.  Soil and/or Structural Report</v>
      </c>
      <c r="B32" s="781"/>
      <c r="C32" s="781"/>
      <c r="D32" s="781"/>
      <c r="E32" s="781"/>
      <c r="F32" s="781"/>
      <c r="H32" s="897" t="str">
        <f>'6. Exhibits'!K58</f>
        <v/>
      </c>
      <c r="I32" s="781"/>
      <c r="J32" s="781"/>
      <c r="K32" s="891"/>
    </row>
    <row r="33" spans="1:11">
      <c r="A33" s="890" t="str">
        <f>'6. Exhibits'!C67</f>
        <v xml:space="preserve">Exhibit 19.  Energy Budget </v>
      </c>
      <c r="B33" s="781"/>
      <c r="C33" s="781"/>
      <c r="D33" s="781"/>
      <c r="E33" s="781"/>
      <c r="F33" s="781"/>
      <c r="H33" s="897" t="str">
        <f>'6. Exhibits'!K67</f>
        <v/>
      </c>
      <c r="I33" s="781"/>
      <c r="J33" s="781"/>
      <c r="K33" s="891"/>
    </row>
    <row r="34" spans="1:11">
      <c r="A34" s="890" t="str">
        <f>'6. Exhibits'!C69</f>
        <v>Exhibit 20.  Construction Financing</v>
      </c>
      <c r="B34" s="781"/>
      <c r="C34" s="781"/>
      <c r="D34" s="781"/>
      <c r="E34" s="781"/>
      <c r="F34" s="781"/>
      <c r="H34" s="897" t="str">
        <f>'6. Exhibits'!K69</f>
        <v/>
      </c>
      <c r="I34" s="781"/>
      <c r="J34" s="781"/>
      <c r="K34" s="891"/>
    </row>
    <row r="35" spans="1:11">
      <c r="A35" s="890" t="str">
        <f>'6. Exhibits'!C71</f>
        <v xml:space="preserve">Exhibit 21.  Permanent Financing </v>
      </c>
      <c r="B35" s="781"/>
      <c r="C35" s="781"/>
      <c r="D35" s="781"/>
      <c r="E35" s="781"/>
      <c r="F35" s="781"/>
      <c r="H35" s="897" t="str">
        <f>'6. Exhibits'!K71</f>
        <v/>
      </c>
      <c r="I35" s="781"/>
      <c r="J35" s="781"/>
      <c r="K35" s="891"/>
    </row>
    <row r="36" spans="1:11">
      <c r="A36" s="890" t="str">
        <f>'6. Exhibits'!C73</f>
        <v xml:space="preserve">Exhibit 22.  Equity Financing Commitment </v>
      </c>
      <c r="B36" s="781"/>
      <c r="C36" s="781"/>
      <c r="D36" s="781"/>
      <c r="E36" s="781"/>
      <c r="F36" s="781"/>
      <c r="H36" s="897" t="str">
        <f>'6. Exhibits'!K73</f>
        <v/>
      </c>
      <c r="I36" s="781"/>
      <c r="J36" s="781"/>
      <c r="K36" s="891"/>
    </row>
    <row r="37" spans="1:11">
      <c r="A37" s="890" t="str">
        <f>'6. Exhibits'!C75</f>
        <v>Exhibit 23.  Other Funding Commitments</v>
      </c>
      <c r="B37" s="781"/>
      <c r="C37" s="781"/>
      <c r="D37" s="781"/>
      <c r="E37" s="781"/>
      <c r="F37" s="781"/>
      <c r="H37" s="897" t="str">
        <f>'6. Exhibits'!K75</f>
        <v/>
      </c>
      <c r="I37" s="781"/>
      <c r="J37" s="781"/>
      <c r="K37" s="891"/>
    </row>
    <row r="38" spans="1:11">
      <c r="A38" s="890" t="str">
        <f>'6. Exhibits'!C77</f>
        <v>Exhibit 24.  Rental Subsidies</v>
      </c>
      <c r="B38" s="781"/>
      <c r="C38" s="781"/>
      <c r="D38" s="781"/>
      <c r="E38" s="781"/>
      <c r="F38" s="781"/>
      <c r="H38" s="897" t="str">
        <f>'6. Exhibits'!K77</f>
        <v/>
      </c>
      <c r="I38" s="781"/>
      <c r="J38" s="781"/>
      <c r="K38" s="891"/>
    </row>
    <row r="39" spans="1:11">
      <c r="A39" s="890" t="str">
        <f>'6. Exhibits'!C79</f>
        <v xml:space="preserve">Exhibit 25.  Developer Profile </v>
      </c>
      <c r="B39" s="781"/>
      <c r="C39" s="781"/>
      <c r="D39" s="781"/>
      <c r="E39" s="781"/>
      <c r="F39" s="781"/>
      <c r="H39" s="897" t="str">
        <f>'6. Exhibits'!K79</f>
        <v>Required exhibit.</v>
      </c>
      <c r="I39" s="781"/>
      <c r="J39" s="781"/>
      <c r="K39" s="891"/>
    </row>
    <row r="40" spans="1:11">
      <c r="A40" s="890" t="str">
        <f>'6. Exhibits'!C81</f>
        <v>Exhibit 26.  Mortgagor's Other Real Estate</v>
      </c>
      <c r="B40" s="781"/>
      <c r="C40" s="781"/>
      <c r="D40" s="781"/>
      <c r="E40" s="781"/>
      <c r="F40" s="781"/>
      <c r="H40" s="897" t="str">
        <f>'6. Exhibits'!K81</f>
        <v/>
      </c>
      <c r="I40" s="781"/>
      <c r="J40" s="781"/>
      <c r="K40" s="891"/>
    </row>
    <row r="41" spans="1:11">
      <c r="A41" s="890" t="str">
        <f>'6. Exhibits'!C83</f>
        <v xml:space="preserve">Exhibit 27.  Architect's Resume </v>
      </c>
      <c r="B41" s="781"/>
      <c r="C41" s="781"/>
      <c r="D41" s="781"/>
      <c r="E41" s="781"/>
      <c r="F41" s="781"/>
      <c r="H41" s="897" t="str">
        <f>'6. Exhibits'!K83</f>
        <v/>
      </c>
      <c r="I41" s="781"/>
      <c r="J41" s="781"/>
      <c r="K41" s="891"/>
    </row>
    <row r="42" spans="1:11">
      <c r="A42" s="890" t="str">
        <f>'6. Exhibits'!C85</f>
        <v>Exhibit 28.  Management Agent Profile</v>
      </c>
      <c r="B42" s="781"/>
      <c r="C42" s="781"/>
      <c r="D42" s="781"/>
      <c r="E42" s="781"/>
      <c r="F42" s="781"/>
      <c r="H42" s="897" t="str">
        <f>'6. Exhibits'!K85</f>
        <v/>
      </c>
      <c r="I42" s="781"/>
      <c r="J42" s="781"/>
      <c r="K42" s="891"/>
    </row>
    <row r="43" spans="1:11">
      <c r="A43" s="890" t="str">
        <f>'6. Exhibits'!C87</f>
        <v xml:space="preserve">Exhibit 29.  General Contractor's Profile </v>
      </c>
      <c r="B43" s="781"/>
      <c r="C43" s="781"/>
      <c r="D43" s="781"/>
      <c r="E43" s="781"/>
      <c r="F43" s="781"/>
      <c r="H43" s="897" t="str">
        <f>'6. Exhibits'!K87</f>
        <v/>
      </c>
      <c r="I43" s="781"/>
      <c r="J43" s="781"/>
      <c r="K43" s="891"/>
    </row>
    <row r="44" spans="1:11">
      <c r="A44" s="890" t="str">
        <f>'6. Exhibits'!C89</f>
        <v xml:space="preserve">Exhibit 30.  Developer Financial Statement and </v>
      </c>
      <c r="B44" s="781"/>
      <c r="C44" s="781"/>
      <c r="D44" s="781"/>
      <c r="E44" s="781"/>
      <c r="F44" s="781"/>
      <c r="H44" s="897" t="str">
        <f>'6. Exhibits'!K90</f>
        <v/>
      </c>
      <c r="I44" s="781"/>
      <c r="J44" s="781"/>
      <c r="K44" s="891"/>
    </row>
    <row r="45" spans="1:11">
      <c r="A45" s="890" t="str">
        <f>'6. Exhibits'!C92</f>
        <v>Exhibit 31.  Mortgagor Personal Financial Statement</v>
      </c>
      <c r="B45" s="781"/>
      <c r="C45" s="781"/>
      <c r="D45" s="781"/>
      <c r="E45" s="781"/>
      <c r="F45" s="781"/>
      <c r="H45" s="897" t="str">
        <f>'6. Exhibits'!K92</f>
        <v/>
      </c>
      <c r="I45" s="781"/>
      <c r="J45" s="781"/>
      <c r="K45" s="891"/>
    </row>
    <row r="46" spans="1:11">
      <c r="A46" s="890" t="str">
        <f>'6. Exhibits'!C94</f>
        <v>Exhibit 32.  Individual Financial Profile</v>
      </c>
      <c r="B46" s="781"/>
      <c r="C46" s="781"/>
      <c r="D46" s="781"/>
      <c r="E46" s="781"/>
      <c r="F46" s="781"/>
      <c r="H46" s="897" t="str">
        <f>'6. Exhibits'!K94</f>
        <v/>
      </c>
      <c r="I46" s="781"/>
      <c r="J46" s="781"/>
      <c r="K46" s="891"/>
    </row>
    <row r="47" spans="1:11">
      <c r="A47" s="890" t="str">
        <f>'6. Exhibits'!C96</f>
        <v>Exhibit 33.  General Contractor's Financial Capacity</v>
      </c>
      <c r="B47" s="781"/>
      <c r="C47" s="781"/>
      <c r="D47" s="781"/>
      <c r="E47" s="781"/>
      <c r="F47" s="781"/>
      <c r="H47" s="897" t="str">
        <f>'6. Exhibits'!K96</f>
        <v/>
      </c>
      <c r="I47" s="781"/>
      <c r="J47" s="781"/>
      <c r="K47" s="891"/>
    </row>
    <row r="48" spans="1:11">
      <c r="A48" s="890"/>
      <c r="B48" s="781"/>
      <c r="C48" s="781"/>
      <c r="D48" s="781"/>
      <c r="E48" s="781"/>
      <c r="F48" s="781"/>
      <c r="G48" s="781"/>
      <c r="H48" s="897"/>
      <c r="I48" s="781"/>
      <c r="J48" s="781"/>
      <c r="K48" s="891"/>
    </row>
    <row r="49" spans="1:11" ht="16.5" thickBot="1">
      <c r="A49" s="898"/>
      <c r="B49" s="899"/>
      <c r="C49" s="893"/>
      <c r="D49" s="893"/>
      <c r="E49" s="893"/>
      <c r="F49" s="893"/>
      <c r="G49" s="893"/>
      <c r="H49" s="900"/>
      <c r="I49" s="893"/>
      <c r="J49" s="893"/>
      <c r="K49" s="894"/>
    </row>
    <row r="50" spans="1:11" ht="16.5" thickTop="1"/>
  </sheetData>
  <sheetProtection password="D405" objects="1" scenarios="1"/>
  <phoneticPr fontId="140" type="noConversion"/>
  <printOptions horizontalCentered="1"/>
  <pageMargins left="0.5" right="0.5" top="0.42" bottom="0.56000000000000005" header="0.17" footer="0.32"/>
  <pageSetup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308</vt:i4>
      </vt:variant>
    </vt:vector>
  </HeadingPairs>
  <TitlesOfParts>
    <vt:vector size="329" baseType="lpstr">
      <vt:lpstr>1. Description</vt:lpstr>
      <vt:lpstr>2. Dev. Team</vt:lpstr>
      <vt:lpstr>3. Sources Uses</vt:lpstr>
      <vt:lpstr>4. Operating</vt:lpstr>
      <vt:lpstr>5. Tax Credits</vt:lpstr>
      <vt:lpstr>6. Exhibits</vt:lpstr>
      <vt:lpstr>7. Signature</vt:lpstr>
      <vt:lpstr>Output</vt:lpstr>
      <vt:lpstr>Check</vt:lpstr>
      <vt:lpstr>Exhibit 11</vt:lpstr>
      <vt:lpstr>Exhibit31A</vt:lpstr>
      <vt:lpstr>Exhibit31B</vt:lpstr>
      <vt:lpstr>Lists</vt:lpstr>
      <vt:lpstr>Income Limits</vt:lpstr>
      <vt:lpstr>Fair Market Rents</vt:lpstr>
      <vt:lpstr>QCTs</vt:lpstr>
      <vt:lpstr>Other Information</vt:lpstr>
      <vt:lpstr>ScratchPad</vt:lpstr>
      <vt:lpstr>FAQs</vt:lpstr>
      <vt:lpstr>What's New</vt:lpstr>
      <vt:lpstr>List of Exhibits</vt:lpstr>
      <vt:lpstr>_1_1</vt:lpstr>
      <vt:lpstr>_2_2</vt:lpstr>
      <vt:lpstr>_3_3</vt:lpstr>
      <vt:lpstr>_4_4</vt:lpstr>
      <vt:lpstr>_5_5</vt:lpstr>
      <vt:lpstr>_6_6</vt:lpstr>
      <vt:lpstr>_7_7</vt:lpstr>
      <vt:lpstr>_8INT.RATE.</vt:lpstr>
      <vt:lpstr>_faq1</vt:lpstr>
      <vt:lpstr>_faq2</vt:lpstr>
      <vt:lpstr>_faq3</vt:lpstr>
      <vt:lpstr>aaa</vt:lpstr>
      <vt:lpstr>acquisition_credit</vt:lpstr>
      <vt:lpstr>acquisition_minimal</vt:lpstr>
      <vt:lpstr>acquisition_moderate</vt:lpstr>
      <vt:lpstr>acquisition_substantial</vt:lpstr>
      <vt:lpstr>acquistion_minimal</vt:lpstr>
      <vt:lpstr>adaptive_reuse</vt:lpstr>
      <vt:lpstr>air_central</vt:lpstr>
      <vt:lpstr>air_rent</vt:lpstr>
      <vt:lpstr>air_window</vt:lpstr>
      <vt:lpstr>airports</vt:lpstr>
      <vt:lpstr>amort1</vt:lpstr>
      <vt:lpstr>amort2</vt:lpstr>
      <vt:lpstr>amort3</vt:lpstr>
      <vt:lpstr>amort4</vt:lpstr>
      <vt:lpstr>amort5</vt:lpstr>
      <vt:lpstr>areaname</vt:lpstr>
      <vt:lpstr>asbestos_abatement</vt:lpstr>
      <vt:lpstr>asbestos_abatement_note</vt:lpstr>
      <vt:lpstr>AVGFAMILYSIZE</vt:lpstr>
      <vt:lpstr>BARNSTABLE</vt:lpstr>
      <vt:lpstr>bedroom_type1</vt:lpstr>
      <vt:lpstr>bedroom_type2</vt:lpstr>
      <vt:lpstr>bedroom_type3</vt:lpstr>
      <vt:lpstr>bedroom_type4</vt:lpstr>
      <vt:lpstr>bedroom_type5</vt:lpstr>
      <vt:lpstr>bedroom_type6</vt:lpstr>
      <vt:lpstr>BERKSHIRE</vt:lpstr>
      <vt:lpstr>BRISTOL</vt:lpstr>
      <vt:lpstr>carpet</vt:lpstr>
      <vt:lpstr>census_answer</vt:lpstr>
      <vt:lpstr>census_question</vt:lpstr>
      <vt:lpstr>'Other Information'!Census_Tract</vt:lpstr>
      <vt:lpstr>chapter_774</vt:lpstr>
      <vt:lpstr>chapter21e</vt:lpstr>
      <vt:lpstr>chapter21e_note</vt:lpstr>
      <vt:lpstr>CHECK</vt:lpstr>
      <vt:lpstr>chemicals</vt:lpstr>
      <vt:lpstr>commercial</vt:lpstr>
      <vt:lpstr>construction_financing</vt:lpstr>
      <vt:lpstr>cooking_fuel</vt:lpstr>
      <vt:lpstr>COST</vt:lpstr>
      <vt:lpstr>county</vt:lpstr>
      <vt:lpstr>countylist</vt:lpstr>
      <vt:lpstr>countyname</vt:lpstr>
      <vt:lpstr>credit_percentage</vt:lpstr>
      <vt:lpstr>Date</vt:lpstr>
      <vt:lpstr>Date_revised</vt:lpstr>
      <vt:lpstr>Debt_financing</vt:lpstr>
      <vt:lpstr>developer_sponsor_type</vt:lpstr>
      <vt:lpstr>DHCD</vt:lpstr>
      <vt:lpstr>DHCDcategory1</vt:lpstr>
      <vt:lpstr>DHCDcategory2</vt:lpstr>
      <vt:lpstr>DHCDHome</vt:lpstr>
      <vt:lpstr>difficult_to_develop</vt:lpstr>
      <vt:lpstr>dishwasher</vt:lpstr>
      <vt:lpstr>disposal</vt:lpstr>
      <vt:lpstr>distance_to_electricity</vt:lpstr>
      <vt:lpstr>distance_to_gas</vt:lpstr>
      <vt:lpstr>distance_to_public_water</vt:lpstr>
      <vt:lpstr>distance_to_san_sewer</vt:lpstr>
      <vt:lpstr>distance_to_storm_sewer</vt:lpstr>
      <vt:lpstr>DND</vt:lpstr>
      <vt:lpstr>DUKES</vt:lpstr>
      <vt:lpstr>electricity</vt:lpstr>
      <vt:lpstr>electricity_distance</vt:lpstr>
      <vt:lpstr>electricity_domestic</vt:lpstr>
      <vt:lpstr>elevators</vt:lpstr>
      <vt:lpstr>endangered_species</vt:lpstr>
      <vt:lpstr>enf</vt:lpstr>
      <vt:lpstr>enf_note</vt:lpstr>
      <vt:lpstr>entity_formed64</vt:lpstr>
      <vt:lpstr>entity_formed65</vt:lpstr>
      <vt:lpstr>entity_formed66</vt:lpstr>
      <vt:lpstr>environmental</vt:lpstr>
      <vt:lpstr>ESSEX</vt:lpstr>
      <vt:lpstr>EXH_11</vt:lpstr>
      <vt:lpstr>ExternalData1</vt:lpstr>
      <vt:lpstr>ExternalData1_TABLE</vt:lpstr>
      <vt:lpstr>ExternalData4</vt:lpstr>
      <vt:lpstr>ExternalData4_TABLE</vt:lpstr>
      <vt:lpstr>'4. Operating'!ExternalData6</vt:lpstr>
      <vt:lpstr>ExternalData6</vt:lpstr>
      <vt:lpstr>'4. Operating'!ExternalData6_TABLE</vt:lpstr>
      <vt:lpstr>ExternalData6_TABLE</vt:lpstr>
      <vt:lpstr>faqs</vt:lpstr>
      <vt:lpstr>fin_massdevelopment</vt:lpstr>
      <vt:lpstr>financial_distress</vt:lpstr>
      <vt:lpstr>financial_distress_note</vt:lpstr>
      <vt:lpstr>firecode_type</vt:lpstr>
      <vt:lpstr>flodplain_note2</vt:lpstr>
      <vt:lpstr>floodplain</vt:lpstr>
      <vt:lpstr>floodplain_note1</vt:lpstr>
      <vt:lpstr>floodplain_note2</vt:lpstr>
      <vt:lpstr>floodplain_note3</vt:lpstr>
      <vt:lpstr>fmr_update</vt:lpstr>
      <vt:lpstr>'Fair Market Rents'!fmrdata</vt:lpstr>
      <vt:lpstr>'Fair Market Rents'!fmrdata_5</vt:lpstr>
      <vt:lpstr>'4. Operating'!fmrincdata</vt:lpstr>
      <vt:lpstr>'4. Operating'!fmrincdata_TABLE</vt:lpstr>
      <vt:lpstr>'4. Operating'!fmrincdata_TABLE_2</vt:lpstr>
      <vt:lpstr>FMRs</vt:lpstr>
      <vt:lpstr>fmrstart</vt:lpstr>
      <vt:lpstr>FRANKLIN</vt:lpstr>
      <vt:lpstr>gas</vt:lpstr>
      <vt:lpstr>gas_distance</vt:lpstr>
      <vt:lpstr>gas_or_electric</vt:lpstr>
      <vt:lpstr>Gas_or_electric?</vt:lpstr>
      <vt:lpstr>HAMPDEN</vt:lpstr>
      <vt:lpstr>HAMPSHIRE</vt:lpstr>
      <vt:lpstr>heat</vt:lpstr>
      <vt:lpstr>heating_number</vt:lpstr>
      <vt:lpstr>heating_rvalue</vt:lpstr>
      <vt:lpstr>heating_system</vt:lpstr>
      <vt:lpstr>historic_credit</vt:lpstr>
      <vt:lpstr>historic_district</vt:lpstr>
      <vt:lpstr>historic_district_note1</vt:lpstr>
      <vt:lpstr>historic_district_note2</vt:lpstr>
      <vt:lpstr>hot_water</vt:lpstr>
      <vt:lpstr>how_many_elevators</vt:lpstr>
      <vt:lpstr>identity_interest_explain</vt:lpstr>
      <vt:lpstr>identity_of_interest</vt:lpstr>
      <vt:lpstr>identity_of_interest2</vt:lpstr>
      <vt:lpstr>'Income Limits'!incomelimits</vt:lpstr>
      <vt:lpstr>incomelimits_update</vt:lpstr>
      <vt:lpstr>incomestart</vt:lpstr>
      <vt:lpstr>insulation</vt:lpstr>
      <vt:lpstr>insulation_number</vt:lpstr>
      <vt:lpstr>insulation_rvalue</vt:lpstr>
      <vt:lpstr>K.PMT</vt:lpstr>
      <vt:lpstr>lead_paint</vt:lpstr>
      <vt:lpstr>lead_paint_note1</vt:lpstr>
      <vt:lpstr>lead_paint_note2</vt:lpstr>
      <vt:lpstr>lead_paint_note3</vt:lpstr>
      <vt:lpstr>liens</vt:lpstr>
      <vt:lpstr>liens_note</vt:lpstr>
      <vt:lpstr>loanclosing</vt:lpstr>
      <vt:lpstr>mainpage</vt:lpstr>
      <vt:lpstr>major_systems</vt:lpstr>
      <vt:lpstr>MAXRENTS</vt:lpstr>
      <vt:lpstr>'4. Operating'!median_20family_20income_2099</vt:lpstr>
      <vt:lpstr>'4. Operating'!medianfamilyincome99</vt:lpstr>
      <vt:lpstr>medianincome</vt:lpstr>
      <vt:lpstr>metrofmr</vt:lpstr>
      <vt:lpstr>'4. Operating'!mfi</vt:lpstr>
      <vt:lpstr>microwave</vt:lpstr>
      <vt:lpstr>MIDDLESEX</vt:lpstr>
      <vt:lpstr>minimum_units</vt:lpstr>
      <vt:lpstr>mortagage_funding</vt:lpstr>
      <vt:lpstr>msa_name</vt:lpstr>
      <vt:lpstr>msalist</vt:lpstr>
      <vt:lpstr>MTG.TERM</vt:lpstr>
      <vt:lpstr>mytest</vt:lpstr>
      <vt:lpstr>NANTUCKET</vt:lpstr>
      <vt:lpstr>new_construction</vt:lpstr>
      <vt:lpstr>newconstruction_or_subsrehab</vt:lpstr>
      <vt:lpstr>newconstruction_or_subsrehab_note</vt:lpstr>
      <vt:lpstr>newconstruction_or_subsrehab_note1</vt:lpstr>
      <vt:lpstr>newconstruction_or_subsrehab_note2</vt:lpstr>
      <vt:lpstr>newcontruction_or_subsrehab</vt:lpstr>
      <vt:lpstr>newcontruction_or_subsrehab_note</vt:lpstr>
      <vt:lpstr>'Other Information'!newmfi</vt:lpstr>
      <vt:lpstr>nonmetrofmr</vt:lpstr>
      <vt:lpstr>nonownership</vt:lpstr>
      <vt:lpstr>NORFOLK</vt:lpstr>
      <vt:lpstr>numbdr1</vt:lpstr>
      <vt:lpstr>numbdr2</vt:lpstr>
      <vt:lpstr>numbdr3</vt:lpstr>
      <vt:lpstr>numbdr4</vt:lpstr>
      <vt:lpstr>numbdr5</vt:lpstr>
      <vt:lpstr>numbdr6</vt:lpstr>
      <vt:lpstr>number_of_elevators</vt:lpstr>
      <vt:lpstr>official_action</vt:lpstr>
      <vt:lpstr>ONE_STOP</vt:lpstr>
      <vt:lpstr>OPERATE</vt:lpstr>
      <vt:lpstr>Other_fund</vt:lpstr>
      <vt:lpstr>other1</vt:lpstr>
      <vt:lpstr>other2</vt:lpstr>
      <vt:lpstr>other3</vt:lpstr>
      <vt:lpstr>'Other Information'!otherinfo</vt:lpstr>
      <vt:lpstr>OUTPUT</vt:lpstr>
      <vt:lpstr>peoplefactor</vt:lpstr>
      <vt:lpstr>permanent_financing</vt:lpstr>
      <vt:lpstr>permanent_rental</vt:lpstr>
      <vt:lpstr>PLYMOUTH</vt:lpstr>
      <vt:lpstr>PRINCIPAL</vt:lpstr>
      <vt:lpstr>'1. Description'!Print_Area</vt:lpstr>
      <vt:lpstr>'2. Dev. Team'!Print_Area</vt:lpstr>
      <vt:lpstr>'3. Sources Uses'!Print_Area</vt:lpstr>
      <vt:lpstr>'4. Operating'!Print_Area</vt:lpstr>
      <vt:lpstr>'5. Tax Credits'!Print_Area</vt:lpstr>
      <vt:lpstr>'6. Exhibits'!Print_Area</vt:lpstr>
      <vt:lpstr>Check!Print_Area</vt:lpstr>
      <vt:lpstr>Exhibit31A!Print_Area</vt:lpstr>
      <vt:lpstr>FAQs!Print_Area</vt:lpstr>
      <vt:lpstr>'Income Limits'!Print_Area</vt:lpstr>
      <vt:lpstr>'Other Information'!Print_Area</vt:lpstr>
      <vt:lpstr>Output!Print_Area</vt:lpstr>
      <vt:lpstr>QCTs!Print_Area</vt:lpstr>
      <vt:lpstr>'What''s New'!Print_Area</vt:lpstr>
      <vt:lpstr>QCTs!Print_Titles</vt:lpstr>
      <vt:lpstr>PROFORMA</vt:lpstr>
      <vt:lpstr>PROJNAME</vt:lpstr>
      <vt:lpstr>proposed_housing_type</vt:lpstr>
      <vt:lpstr>public_water</vt:lpstr>
      <vt:lpstr>public_water_distance</vt:lpstr>
      <vt:lpstr>QCTs!Qct</vt:lpstr>
      <vt:lpstr>QCTs!qct_1</vt:lpstr>
      <vt:lpstr>QCTs!Qct_2</vt:lpstr>
      <vt:lpstr>qct_update</vt:lpstr>
      <vt:lpstr>QCTLIST</vt:lpstr>
      <vt:lpstr>QCTMASTERLIST</vt:lpstr>
      <vt:lpstr>qctstart</vt:lpstr>
      <vt:lpstr>qualified_census</vt:lpstr>
      <vt:lpstr>qualified_census_answer</vt:lpstr>
      <vt:lpstr>qualified_census_question</vt:lpstr>
      <vt:lpstr>R_Value_or_type?</vt:lpstr>
      <vt:lpstr>radon_levels</vt:lpstr>
      <vt:lpstr>radon_levels_note</vt:lpstr>
      <vt:lpstr>range</vt:lpstr>
      <vt:lpstr>refrigerator</vt:lpstr>
      <vt:lpstr>REGIONFILL</vt:lpstr>
      <vt:lpstr>REGIONNAME</vt:lpstr>
      <vt:lpstr>rehab_cost_historic</vt:lpstr>
      <vt:lpstr>rehab_credit</vt:lpstr>
      <vt:lpstr>relocation_of_tenants</vt:lpstr>
      <vt:lpstr>relocation_of_tenants_note</vt:lpstr>
      <vt:lpstr>relocation_of_tenants_question</vt:lpstr>
      <vt:lpstr>RENT</vt:lpstr>
      <vt:lpstr>RENT_TO</vt:lpstr>
      <vt:lpstr>RENTAUTO</vt:lpstr>
      <vt:lpstr>RENTAUTOS</vt:lpstr>
      <vt:lpstr>RENTDATE</vt:lpstr>
      <vt:lpstr>ROUNDINCLIMITTO</vt:lpstr>
      <vt:lpstr>san_sewer</vt:lpstr>
      <vt:lpstr>san_sewer_distance</vt:lpstr>
      <vt:lpstr>scattered_sites</vt:lpstr>
      <vt:lpstr>scattered_sites_note</vt:lpstr>
      <vt:lpstr>scope_of_rehab</vt:lpstr>
      <vt:lpstr>SECTION1</vt:lpstr>
      <vt:lpstr>SECTION2</vt:lpstr>
      <vt:lpstr>SECTION3</vt:lpstr>
      <vt:lpstr>SECTION4</vt:lpstr>
      <vt:lpstr>SECTION5</vt:lpstr>
      <vt:lpstr>SECTION6</vt:lpstr>
      <vt:lpstr>SECTION7</vt:lpstr>
      <vt:lpstr>SHADE3</vt:lpstr>
      <vt:lpstr>site_control</vt:lpstr>
      <vt:lpstr>special_features</vt:lpstr>
      <vt:lpstr>ssnum64</vt:lpstr>
      <vt:lpstr>ssnum65</vt:lpstr>
      <vt:lpstr>ssnum66</vt:lpstr>
      <vt:lpstr>'Other Information'!Staticinfo_1</vt:lpstr>
      <vt:lpstr>storm_sewer</vt:lpstr>
      <vt:lpstr>storm_sewer_distance</vt:lpstr>
      <vt:lpstr>subsidy_layering</vt:lpstr>
      <vt:lpstr>substandard</vt:lpstr>
      <vt:lpstr>SUFFOLK</vt:lpstr>
      <vt:lpstr>SUMMARY</vt:lpstr>
      <vt:lpstr>sustained_occupancy</vt:lpstr>
      <vt:lpstr>TABLEFAMILYINC</vt:lpstr>
      <vt:lpstr>tax_credit</vt:lpstr>
      <vt:lpstr>tax_exempt_finance</vt:lpstr>
      <vt:lpstr>taxcredit_estimate_margin</vt:lpstr>
      <vt:lpstr>technical_support</vt:lpstr>
      <vt:lpstr>test</vt:lpstr>
      <vt:lpstr>testrange</vt:lpstr>
      <vt:lpstr>testtable</vt:lpstr>
      <vt:lpstr>today_date</vt:lpstr>
      <vt:lpstr>type_of_range</vt:lpstr>
      <vt:lpstr>uffi</vt:lpstr>
      <vt:lpstr>uffi_note</vt:lpstr>
      <vt:lpstr>userdefined_income</vt:lpstr>
      <vt:lpstr>utility_service</vt:lpstr>
      <vt:lpstr>utility_service_note</vt:lpstr>
      <vt:lpstr>version_number</vt:lpstr>
      <vt:lpstr>washer_dryer</vt:lpstr>
      <vt:lpstr>washer_hookup</vt:lpstr>
      <vt:lpstr>webinfo</vt:lpstr>
      <vt:lpstr>what1</vt:lpstr>
      <vt:lpstr>what2</vt:lpstr>
      <vt:lpstr>what3</vt:lpstr>
      <vt:lpstr>what4</vt:lpstr>
      <vt:lpstr>what5</vt:lpstr>
      <vt:lpstr>what6</vt:lpstr>
      <vt:lpstr>what7</vt:lpstr>
      <vt:lpstr>what8</vt:lpstr>
      <vt:lpstr>what9</vt:lpstr>
      <vt:lpstr>whats_new</vt:lpstr>
      <vt:lpstr>windows</vt:lpstr>
      <vt:lpstr>windows_number</vt:lpstr>
      <vt:lpstr>windows_rvalue</vt:lpstr>
      <vt:lpstr>WORCESTER</vt:lpstr>
      <vt:lpstr>zoning_ok</vt:lpstr>
      <vt:lpstr>zoning_proposed_use</vt:lpstr>
      <vt:lpstr>zoning_proposed_use1</vt:lpstr>
      <vt:lpstr>zoning_proposed_use2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One Stop2000 Affordable Housing Finance Application</dc:title>
  <dc:creator>Shalini Konduri</dc:creator>
  <cp:lastModifiedBy>Deepak Karamcheti</cp:lastModifiedBy>
  <cp:lastPrinted>2007-03-28T14:28:38Z</cp:lastPrinted>
  <dcterms:created xsi:type="dcterms:W3CDTF">1996-05-06T20:13:16Z</dcterms:created>
  <dcterms:modified xsi:type="dcterms:W3CDTF">2022-06-28T19:50:00Z</dcterms:modified>
</cp:coreProperties>
</file>